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928"/>
  <workbookPr/>
  <bookViews>
    <workbookView xWindow="65416" yWindow="65416" windowWidth="20730" windowHeight="11040" activeTab="3"/>
  </bookViews>
  <sheets>
    <sheet name="PRESUPUESTO 2022" sheetId="1" r:id="rId1"/>
    <sheet name="proyectos 2022" sheetId="4" r:id="rId2"/>
    <sheet name="DISTRIBUTIVO SUELDOS Y SALARIOS" sheetId="3" r:id="rId3"/>
    <sheet name="POA 2022" sheetId="5" r:id="rId4"/>
    <sheet name="REFORMAS" sheetId="7" r:id="rId5"/>
    <sheet name="Hoja1" sheetId="6" r:id="rId6"/>
  </sheets>
  <definedNames/>
  <calcPr calcId="191029"/>
</workbook>
</file>

<file path=xl/comments1.xml><?xml version="1.0" encoding="utf-8"?>
<comments xmlns="http://schemas.openxmlformats.org/spreadsheetml/2006/main">
  <authors>
    <author>MISTERMASHI</author>
    <author>GAD CUCHIL</author>
  </authors>
  <commentList>
    <comment ref="F8" authorId="0">
      <text>
        <r>
          <rPr>
            <b/>
            <sz val="9"/>
            <rFont val="Tahoma"/>
            <family val="2"/>
          </rPr>
          <t>MISTERMASHI:</t>
        </r>
        <r>
          <rPr>
            <sz val="9"/>
            <rFont val="Tahoma"/>
            <family val="2"/>
          </rPr>
          <t xml:space="preserve">
30000 TEXTIL PROYECTO II FASE
26539,61 PRESUPUESTO PARTICIPATIVO</t>
        </r>
      </text>
    </comment>
    <comment ref="F10" authorId="0">
      <text>
        <r>
          <rPr>
            <b/>
            <sz val="9"/>
            <rFont val="Tahoma"/>
            <family val="2"/>
          </rPr>
          <t>MISTERMASHI:</t>
        </r>
        <r>
          <rPr>
            <sz val="9"/>
            <rFont val="Tahoma"/>
            <family val="2"/>
          </rPr>
          <t xml:space="preserve">
CREDITO BDE</t>
        </r>
      </text>
    </comment>
    <comment ref="D13" authorId="1">
      <text>
        <r>
          <rPr>
            <b/>
            <sz val="9"/>
            <rFont val="Tahoma"/>
            <family val="2"/>
          </rPr>
          <t>GAD CUCHIL:</t>
        </r>
        <r>
          <rPr>
            <sz val="9"/>
            <rFont val="Tahoma"/>
            <family val="2"/>
          </rPr>
          <t xml:space="preserve">
13649,49 mef
21416 iva anterior</t>
        </r>
      </text>
    </comment>
    <comment ref="D14" authorId="1">
      <text>
        <r>
          <rPr>
            <b/>
            <sz val="9"/>
            <rFont val="Tahoma"/>
            <family val="2"/>
          </rPr>
          <t>GAD CUCHIL:
arbitro 1517 y juanfer 136,42 112,01,01
isa 1,55 chuva luis 0,84 112,05</t>
        </r>
      </text>
    </comment>
  </commentList>
</comments>
</file>

<file path=xl/comments2.xml><?xml version="1.0" encoding="utf-8"?>
<comments xmlns="http://schemas.openxmlformats.org/spreadsheetml/2006/main">
  <authors>
    <author>GAD CUCHIL</author>
  </authors>
  <commentList>
    <comment ref="D195" authorId="0">
      <text>
        <r>
          <rPr>
            <b/>
            <sz val="9"/>
            <rFont val="Tahoma"/>
            <family val="2"/>
          </rPr>
          <t>GAD CUCHIL: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mina 4146,43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arbitro 2730.
60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william 720,17
klever 3123,09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internet 26,52
doña andra 3,06</t>
        </r>
        <r>
          <rPr>
            <sz val="9"/>
            <rFont val="Tahoma"/>
            <family val="2"/>
          </rPr>
          <t xml:space="preserve">
aporte personal 417,50
aporte patronal 406,57
</t>
        </r>
        <r>
          <rPr>
            <b/>
            <sz val="9"/>
            <rFont val="Tahoma"/>
            <family val="2"/>
          </rPr>
          <t>telefono 13,28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LUZ 54,12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andrea caiza 2,40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agua potable y riego 11</t>
        </r>
        <r>
          <rPr>
            <sz val="9"/>
            <rFont val="Tahoma"/>
            <family val="2"/>
          </rPr>
          <t xml:space="preserve">
ice 25,75
aporte iess vichi 82,29
aporte personal v 69,74
impuesto renta 460,71 (asiento 75,70 cuando se pague el iva)
</t>
        </r>
        <r>
          <rPr>
            <b/>
            <sz val="9"/>
            <rFont val="Tahoma"/>
            <family val="2"/>
          </rPr>
          <t>juan fer 133,32+387,53-136,42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COMBUSTIBLE 490,45</t>
        </r>
        <r>
          <rPr>
            <sz val="9"/>
            <rFont val="Tahoma"/>
            <family val="2"/>
          </rPr>
          <t xml:space="preserve">
1conagopare 136,49
2conagopare 272,99
5x1000 90,83</t>
        </r>
        <r>
          <rPr>
            <b/>
            <sz val="9"/>
            <rFont val="Tahoma"/>
            <family val="2"/>
          </rPr>
          <t xml:space="preserve">
narracion 700</t>
        </r>
      </text>
    </comment>
  </commentList>
</comments>
</file>

<file path=xl/sharedStrings.xml><?xml version="1.0" encoding="utf-8"?>
<sst xmlns="http://schemas.openxmlformats.org/spreadsheetml/2006/main" count="929" uniqueCount="479">
  <si>
    <t>GOBIERNO AUTONOMO DESCENTRALIZADO PARROQUIAL DE CUTCHIL</t>
  </si>
  <si>
    <t>INGRESOS AÑO 2022</t>
  </si>
  <si>
    <t>PARTIDA</t>
  </si>
  <si>
    <t>DENOMINACIÓN</t>
  </si>
  <si>
    <t>ASIGNACIÓN ANUAL PARCIAL</t>
  </si>
  <si>
    <t>REFORMA</t>
  </si>
  <si>
    <t>TOTAL</t>
  </si>
  <si>
    <t>18.01.04</t>
  </si>
  <si>
    <t>Gobierno Seccional aniversario de parroquialización (GAD municipal fiestas)</t>
  </si>
  <si>
    <t>18.06.08</t>
  </si>
  <si>
    <t>Aportes a Juntas Parroquiales Rurales (gasto corriente 170*425)</t>
  </si>
  <si>
    <t>19.04.99</t>
  </si>
  <si>
    <t>Otros no especificados (cementerio)</t>
  </si>
  <si>
    <t>28.01.04</t>
  </si>
  <si>
    <t xml:space="preserve">De Entidades del Gobierno Autónomo Descentralizado (tasa solidaria 2022, puente) </t>
  </si>
  <si>
    <t>28.06.08</t>
  </si>
  <si>
    <t>Aportes a Juntas Parroquiales Rurales (gasto de inversión)</t>
  </si>
  <si>
    <t>36,02,01</t>
  </si>
  <si>
    <t>Del Sector Público Financiero</t>
  </si>
  <si>
    <t>36.02.03</t>
  </si>
  <si>
    <t xml:space="preserve">Del Sector Privado Financiero </t>
  </si>
  <si>
    <t>37.01.02</t>
  </si>
  <si>
    <t>De Fondos de Autogestión (bancos año anterior)</t>
  </si>
  <si>
    <t>38.01.01</t>
  </si>
  <si>
    <t>Cuentas por Cobrar Años Anteriores ( IVA anterior y mef)</t>
  </si>
  <si>
    <t>ESTADO FINANCIERO</t>
  </si>
  <si>
    <t>38.01.07</t>
  </si>
  <si>
    <t xml:space="preserve">De anticipos por Devengar de Ejercicios Anteriores de Gobiernos Autónomos Descentralizados y Empresas Públicas Compra de Bienes y/o Servicios. </t>
  </si>
  <si>
    <t xml:space="preserve"> </t>
  </si>
  <si>
    <t>TOTAL DE INGRESOS</t>
  </si>
  <si>
    <t>Ing. Roberto Placencia                                                                                                                     CPA. Isabel Buele</t>
  </si>
  <si>
    <t xml:space="preserve">      PRESIDENTE DEL GADP CUTCHIL                                                      SECRETARIA-TESORERA GADP CUTCHIL</t>
  </si>
  <si>
    <t>PRESUPUESTO  AÑO 2022</t>
  </si>
  <si>
    <t>ASIGNACIÓN SEGÚN EL OBJETO DEL GASTO</t>
  </si>
  <si>
    <t>IVA</t>
  </si>
  <si>
    <t>SUBTOTAL</t>
  </si>
  <si>
    <t>GASTOS</t>
  </si>
  <si>
    <t>510105</t>
  </si>
  <si>
    <t>Remuneraciones Unificadas</t>
  </si>
  <si>
    <t>510203</t>
  </si>
  <si>
    <t>Décimo Tercer Sueldo</t>
  </si>
  <si>
    <t>510204</t>
  </si>
  <si>
    <t>Décimo Cuarto Sueldo</t>
  </si>
  <si>
    <t>510601</t>
  </si>
  <si>
    <t>Aporte Patronal</t>
  </si>
  <si>
    <t>510602</t>
  </si>
  <si>
    <t>Fondo de Reserva</t>
  </si>
  <si>
    <t>510707</t>
  </si>
  <si>
    <t>Por Vacaciones</t>
  </si>
  <si>
    <t>530101</t>
  </si>
  <si>
    <t>Agua Potable</t>
  </si>
  <si>
    <t>530102</t>
  </si>
  <si>
    <t>530104</t>
  </si>
  <si>
    <t>Energía Eléctrica</t>
  </si>
  <si>
    <t>530105</t>
  </si>
  <si>
    <t>Telecomunicaciones (internet, teléfono)</t>
  </si>
  <si>
    <t>530204</t>
  </si>
  <si>
    <t>Edición, Impresión,  Reproducción y Publicaciones</t>
  </si>
  <si>
    <t>530205</t>
  </si>
  <si>
    <t>Espectáculos Culturales y Sociales</t>
  </si>
  <si>
    <t>530301</t>
  </si>
  <si>
    <t>Pasajes al interior</t>
  </si>
  <si>
    <t>530303</t>
  </si>
  <si>
    <t>Viáticos y subsistencia en el interior</t>
  </si>
  <si>
    <t>530612</t>
  </si>
  <si>
    <t>Servicios de Capacitación</t>
  </si>
  <si>
    <t>530702</t>
  </si>
  <si>
    <t>530804</t>
  </si>
  <si>
    <t>Materiales de oficina</t>
  </si>
  <si>
    <t>530805</t>
  </si>
  <si>
    <t>Materiales de Aseo</t>
  </si>
  <si>
    <t>530807</t>
  </si>
  <si>
    <t>Materiales  Impresión, Fotografía, Reprod.y Pub.</t>
  </si>
  <si>
    <t>560201</t>
  </si>
  <si>
    <t>Sector Publico Financiero (BDE)</t>
  </si>
  <si>
    <t>560203</t>
  </si>
  <si>
    <t>Sector Privado Financiero (AUSTRO)</t>
  </si>
  <si>
    <t>570201</t>
  </si>
  <si>
    <t>Seguros</t>
  </si>
  <si>
    <t>570203</t>
  </si>
  <si>
    <t>Comisiones Bancarias</t>
  </si>
  <si>
    <t>580102</t>
  </si>
  <si>
    <t>A Gobiernos Autónomos Descentralizados</t>
  </si>
  <si>
    <t>580406</t>
  </si>
  <si>
    <t>Contribución 0.5% de las Planillas de Pago al IESS</t>
  </si>
  <si>
    <t>710106</t>
  </si>
  <si>
    <t>Salarios  Unificadas</t>
  </si>
  <si>
    <t>710203</t>
  </si>
  <si>
    <t>Decimotercer Sueldo</t>
  </si>
  <si>
    <t>710204</t>
  </si>
  <si>
    <t>Decimocuarto Sueldo</t>
  </si>
  <si>
    <t>710601</t>
  </si>
  <si>
    <t>710602</t>
  </si>
  <si>
    <t>Fondos de Reserva</t>
  </si>
  <si>
    <t>730101</t>
  </si>
  <si>
    <t>730104</t>
  </si>
  <si>
    <t>730105</t>
  </si>
  <si>
    <t>Telecomunicaciones (Internet y teléfono)</t>
  </si>
  <si>
    <t>730204</t>
  </si>
  <si>
    <t xml:space="preserve">Edición, Impresión,  Reproducción y Publicaciones </t>
  </si>
  <si>
    <t>730205</t>
  </si>
  <si>
    <t>730207</t>
  </si>
  <si>
    <t>730236</t>
  </si>
  <si>
    <t>Servicio de plantacion forestal</t>
  </si>
  <si>
    <t>730302</t>
  </si>
  <si>
    <t>730402</t>
  </si>
  <si>
    <t>Gasto en edificios, locales, residencias y cableado estruturado (mantenimiento)</t>
  </si>
  <si>
    <t>730404</t>
  </si>
  <si>
    <t>Maquinaria y Equipos (mantenimiento)</t>
  </si>
  <si>
    <t>730405</t>
  </si>
  <si>
    <t>Vehiculos  (mantenimiento)</t>
  </si>
  <si>
    <t>730418</t>
  </si>
  <si>
    <t>Gasto de mantenimiento areas verdes</t>
  </si>
  <si>
    <t>730419</t>
  </si>
  <si>
    <t>Instalación, Mantenimiento y Reparación de Bienes Deportivos</t>
  </si>
  <si>
    <t>730504</t>
  </si>
  <si>
    <t>Maquinaria y Equipos (alquiler)</t>
  </si>
  <si>
    <t>730505</t>
  </si>
  <si>
    <t>Vehiculo (alquiler)</t>
  </si>
  <si>
    <t>730601</t>
  </si>
  <si>
    <t>Consultoría, Asesoría e Investigación Especializada</t>
  </si>
  <si>
    <t>730605</t>
  </si>
  <si>
    <t>Estudio y Diseño de Proyectos</t>
  </si>
  <si>
    <t>730606</t>
  </si>
  <si>
    <t>730613</t>
  </si>
  <si>
    <t>Capacitación para la Ciudadanía en General</t>
  </si>
  <si>
    <t>730704</t>
  </si>
  <si>
    <t>730801</t>
  </si>
  <si>
    <t xml:space="preserve">Alimentos y Bebidas </t>
  </si>
  <si>
    <t>730803</t>
  </si>
  <si>
    <t>Combustibles y Lubricantes</t>
  </si>
  <si>
    <t>730804</t>
  </si>
  <si>
    <t xml:space="preserve">Materiales de oficina </t>
  </si>
  <si>
    <t>planta tratamiento, escuela cerro negro</t>
  </si>
  <si>
    <t>730807</t>
  </si>
  <si>
    <t>Materiales  Impresión, Fotografía, Reprod.y Pub</t>
  </si>
  <si>
    <t>730811</t>
  </si>
  <si>
    <t xml:space="preserve">Materiales de Construcción, Eléctricos, Plomería y Carpintería </t>
  </si>
  <si>
    <t>730812</t>
  </si>
  <si>
    <t>Materiales didácticos (grupos atención prioritaria)</t>
  </si>
  <si>
    <t>730813</t>
  </si>
  <si>
    <t>Repuestos y Accesorios</t>
  </si>
  <si>
    <t>730814</t>
  </si>
  <si>
    <t>Suministros para Actividades Agropecuarias, Pesca y Caza</t>
  </si>
  <si>
    <t>730820</t>
  </si>
  <si>
    <t>Menaje y Accesorios descartables</t>
  </si>
  <si>
    <t>730827</t>
  </si>
  <si>
    <t>731408</t>
  </si>
  <si>
    <t>731515</t>
  </si>
  <si>
    <t>Plantas</t>
  </si>
  <si>
    <t>750103</t>
  </si>
  <si>
    <t>750104</t>
  </si>
  <si>
    <t>De urbanización y embellecimiento</t>
  </si>
  <si>
    <t>750105</t>
  </si>
  <si>
    <t>750107</t>
  </si>
  <si>
    <t>Construcciones y Edificaciones</t>
  </si>
  <si>
    <t>750109</t>
  </si>
  <si>
    <t>Construcciones Agropecuarias</t>
  </si>
  <si>
    <t>750199</t>
  </si>
  <si>
    <t>770201</t>
  </si>
  <si>
    <t>770206</t>
  </si>
  <si>
    <t>Costos Judiciales; Trámites Notariales y Legalización de Documentos</t>
  </si>
  <si>
    <t>840103</t>
  </si>
  <si>
    <t xml:space="preserve">Mobiliario </t>
  </si>
  <si>
    <t>840104</t>
  </si>
  <si>
    <t xml:space="preserve">Maquinarias y Equipos </t>
  </si>
  <si>
    <t>camaras entrada Cutchil Capilla 1 cámara, Satunsaray 2 estáticas, Escuela 1 cámara, Humberto Esquivel 1</t>
  </si>
  <si>
    <t>840105</t>
  </si>
  <si>
    <t xml:space="preserve">Vehiculos </t>
  </si>
  <si>
    <t>840106</t>
  </si>
  <si>
    <t>Herramientas</t>
  </si>
  <si>
    <t>840107</t>
  </si>
  <si>
    <t>Equipos, sistemas y paquetes informáticos</t>
  </si>
  <si>
    <t>840113</t>
  </si>
  <si>
    <t>Equipos Médicos</t>
  </si>
  <si>
    <t>840301</t>
  </si>
  <si>
    <t>estadio</t>
  </si>
  <si>
    <t>960201</t>
  </si>
  <si>
    <t xml:space="preserve">Al Sector Publico Financiero </t>
  </si>
  <si>
    <t>960203</t>
  </si>
  <si>
    <t xml:space="preserve">Al Sector Privado Financiero </t>
  </si>
  <si>
    <t>970101</t>
  </si>
  <si>
    <t xml:space="preserve">Cuentas por Pagar </t>
  </si>
  <si>
    <t>TOTAL INVERSION</t>
  </si>
  <si>
    <t>PROYECTOS A EJECUTARSE EN EL AÑO 2022</t>
  </si>
  <si>
    <t>AREA A)</t>
  </si>
  <si>
    <t>SERVICIOS GENERALES</t>
  </si>
  <si>
    <t>PROYECTO:</t>
  </si>
  <si>
    <t>ADMINISTRACION GENERAL</t>
  </si>
  <si>
    <t>gastos</t>
  </si>
  <si>
    <t>DESCRIPCION</t>
  </si>
  <si>
    <t>IVA 12%</t>
  </si>
  <si>
    <t>reforma</t>
  </si>
  <si>
    <t>total</t>
  </si>
  <si>
    <t>primer</t>
  </si>
  <si>
    <t>segundo</t>
  </si>
  <si>
    <t>tercer</t>
  </si>
  <si>
    <t>cuarto</t>
  </si>
  <si>
    <t>Agua Riego</t>
  </si>
  <si>
    <t>Telecomunicaciones (internet, telefono)</t>
  </si>
  <si>
    <t>Edicion, Impresión,  Reproduccion y Publicaciones</t>
  </si>
  <si>
    <t>Servicios de Capacitacion</t>
  </si>
  <si>
    <t>Arrendamiento y Licencias d e Uso de Paquetes informaticos</t>
  </si>
  <si>
    <t>actualizaciòn pagina y sistema contable</t>
  </si>
  <si>
    <t>cauciones y seguro bienes</t>
  </si>
  <si>
    <t xml:space="preserve"> Ing. Roberto Placencia                                                                CPA. Isabel Buele</t>
  </si>
  <si>
    <t xml:space="preserve">      PRESIDENTE DEL GADP CUTCHIL                                      SECRETARIA-TESORERA GADP CUTCHIL</t>
  </si>
  <si>
    <t>AREA B):</t>
  </si>
  <si>
    <t>SERVICIOS SOCIALES</t>
  </si>
  <si>
    <t>PROYECTO I:</t>
  </si>
  <si>
    <t>ATENCION AL GRUPO PRIORITARIO DE LA PARROQUIA</t>
  </si>
  <si>
    <t>DENOMINACION</t>
  </si>
  <si>
    <t>VALOR SIN IVA</t>
  </si>
  <si>
    <t>VALOR TOTAL</t>
  </si>
  <si>
    <t>PRIMER</t>
  </si>
  <si>
    <t>SEGUNDO</t>
  </si>
  <si>
    <t>TERCER</t>
  </si>
  <si>
    <t>CUARTO</t>
  </si>
  <si>
    <t xml:space="preserve">Edicion, Impresión,  Reproduccion y Publicaciones </t>
  </si>
  <si>
    <t>letreros</t>
  </si>
  <si>
    <t>sonido, arbitraje jornadas</t>
  </si>
  <si>
    <t>Pasajes exterior</t>
  </si>
  <si>
    <t>Vehiculos</t>
  </si>
  <si>
    <t xml:space="preserve">Honorarios por contratos civiles de Servicios </t>
  </si>
  <si>
    <t>honorarios terapeutico y persona que capacitará talleres de paja</t>
  </si>
  <si>
    <t>capacitadores para charlas</t>
  </si>
  <si>
    <t>dia familia, navidad</t>
  </si>
  <si>
    <t xml:space="preserve">Materiales de Construccion, Elèctricos, Plomerìa y Carpinterìa </t>
  </si>
  <si>
    <t>cualquier material en casa para reparar</t>
  </si>
  <si>
    <t>Materiales didacticos</t>
  </si>
  <si>
    <t>suministro compra materiales curso sombreros</t>
  </si>
  <si>
    <t>Menaje y Accesorios Descartables</t>
  </si>
  <si>
    <t>Uniformes deportivos</t>
  </si>
  <si>
    <t>camisasa 5k</t>
  </si>
  <si>
    <t>Bienes Artísticos, Culturales, Bienes Deportivos y Símbolos Patrios</t>
  </si>
  <si>
    <t>medallas, trofeos carrera 5 k</t>
  </si>
  <si>
    <t>Equipos Medicos</t>
  </si>
  <si>
    <t>para la adquisición de equipos médicos y sus accesorios, excepto equipo odontológico</t>
  </si>
  <si>
    <t>SERVICIOS COMUNALES</t>
  </si>
  <si>
    <t>PROYECTO II:</t>
  </si>
  <si>
    <t>IMPLEMENTACION DE TECNOLOGIAS DE LA INFORMACION PARA LA PARROQUIA</t>
  </si>
  <si>
    <t xml:space="preserve">Telecomunicaciones </t>
  </si>
  <si>
    <t>Mantenimiento y Reparación de Equipos y Sistemas Informáticos</t>
  </si>
  <si>
    <t>Equipos, sistemas y paquetes informaticos</t>
  </si>
  <si>
    <t>PROYECTO III:</t>
  </si>
  <si>
    <t>MEJORAMIENTO, MANTENIMIENTO E IMAGEN DE ESPACIOS PUBLICOS</t>
  </si>
  <si>
    <t xml:space="preserve">Edición, Impresión, Reproducción y publicaciones </t>
  </si>
  <si>
    <t>casa loma de cuthcil</t>
  </si>
  <si>
    <t>Reparacion Maquinas nuevas</t>
  </si>
  <si>
    <t>Gastos en mantenimiento de areas verdes</t>
  </si>
  <si>
    <t>Respuestos y Accesorios</t>
  </si>
  <si>
    <t>Maquinaria y Equipos</t>
  </si>
  <si>
    <t>camaras entrada Cutchil Capilla 1 cámara, Satunsaray 2 estáticas, Escuela 1 cámara, Humberto Esquivel 1, computadora</t>
  </si>
  <si>
    <t>PROYECTO IV:</t>
  </si>
  <si>
    <t>CONSTRUCCION DE DIFERENTES OBRAS Y EQUIPAMIENTO PARA LA PARROQUIA</t>
  </si>
  <si>
    <t>GASTO</t>
  </si>
  <si>
    <t>Gasto en edificios, locales, residencias y cableado estructurado (mantenimiento)</t>
  </si>
  <si>
    <t>juegos, parque</t>
  </si>
  <si>
    <t>ESTUDIO ESTADIO</t>
  </si>
  <si>
    <t xml:space="preserve">Escuela. </t>
  </si>
  <si>
    <t>De urbanizacion y embellecimiento</t>
  </si>
  <si>
    <t>Transporte y Vías</t>
  </si>
  <si>
    <t>construcción puente presupuesto participativo</t>
  </si>
  <si>
    <t>Otras obras de infraestructura</t>
  </si>
  <si>
    <t>Terreno (expropiacion)</t>
  </si>
  <si>
    <t>expropiacion terreno  estadio</t>
  </si>
  <si>
    <t>PROYECTO V:</t>
  </si>
  <si>
    <t>CONSTRUCCION DE SERVICIOS BASICOS</t>
  </si>
  <si>
    <t>Maquinarias y Equipos (Arrendamiento)</t>
  </si>
  <si>
    <t>alquiler retro en agua</t>
  </si>
  <si>
    <t>Vehículo</t>
  </si>
  <si>
    <t>alquiler volqueta</t>
  </si>
  <si>
    <t xml:space="preserve">Materiales de Construccion, Eléctricos, Plomerìa y Carpinterìa </t>
  </si>
  <si>
    <t>tuberia cerro negro y alcantarillados,</t>
  </si>
  <si>
    <t>Infraestructura de alcantarillado</t>
  </si>
  <si>
    <t xml:space="preserve"> planta de tratamiento</t>
  </si>
  <si>
    <t>PROYECTO VI:</t>
  </si>
  <si>
    <t>RESCATE DEL PATRIMONIO, CULTURA Y TURISMO DE LA PARROQUIA</t>
  </si>
  <si>
    <t>TOAL</t>
  </si>
  <si>
    <t>LETREROS CUTCHIL Y SEÑALETICA FERIA</t>
  </si>
  <si>
    <t>Espectaculos Culturales y Sociales</t>
  </si>
  <si>
    <t>fiestas</t>
  </si>
  <si>
    <t>Difusión, Información y Publicidad</t>
  </si>
  <si>
    <t>ARBOL NAVIDAD</t>
  </si>
  <si>
    <t>ESTUDIO DE PLAYA</t>
  </si>
  <si>
    <t>Honorarios por contratos civiles de servicios</t>
  </si>
  <si>
    <t>Alimentos y Bebidad</t>
  </si>
  <si>
    <t>muñecos navidad</t>
  </si>
  <si>
    <t>Maquinarias y Equipos (otros)</t>
  </si>
  <si>
    <t>Terreno (expropiación)</t>
  </si>
  <si>
    <t>PROYECTO VII:</t>
  </si>
  <si>
    <t>FORTALECIMIENTO INSTITUCIONAL Y MINA DE LASTRE</t>
  </si>
  <si>
    <t xml:space="preserve">REHABILITACION PARQUE </t>
  </si>
  <si>
    <t>mina de lastre</t>
  </si>
  <si>
    <t>Costos Judiiales; Trámitas Notariales y Legalización de Documentos</t>
  </si>
  <si>
    <t>para expropiaciones</t>
  </si>
  <si>
    <t>PROYECTO VIII:</t>
  </si>
  <si>
    <t>MANTENIMIENTO VIAL DE LA PARROQUIA</t>
  </si>
  <si>
    <t>mantenimiento retroexcavadora</t>
  </si>
  <si>
    <t>Vehículo(Mantenimiento y reparación)</t>
  </si>
  <si>
    <t xml:space="preserve"> arrendamiento de retro</t>
  </si>
  <si>
    <t>Vehiculo</t>
  </si>
  <si>
    <t>arrendamiento volquete</t>
  </si>
  <si>
    <t>ESTUDIO DE VIA PADRE ELIAS BRITO Y ESTUDIOS VIAS RURALES</t>
  </si>
  <si>
    <t>diesel  para retro</t>
  </si>
  <si>
    <t>repuestos retroexcavadora</t>
  </si>
  <si>
    <t>seguro retroexcavadora</t>
  </si>
  <si>
    <t>Maquinarias y Equipos</t>
  </si>
  <si>
    <t>PROYECTO IX:</t>
  </si>
  <si>
    <t>FOMENTO A LAS ACTIVIDADES PRODUCTIVAS</t>
  </si>
  <si>
    <t>Edición, Impresión, Reproducción y Publicaciones</t>
  </si>
  <si>
    <t>Servicio en plantaciones forestales</t>
  </si>
  <si>
    <t>VERO</t>
  </si>
  <si>
    <t>Capacitacion para la ciudadania en general</t>
  </si>
  <si>
    <t>MAQUINARIA DE PLANTA PROCESADORA</t>
  </si>
  <si>
    <t>GAD PARROQUIAL DE CUTCHIL</t>
  </si>
  <si>
    <t>DISTRIBUTIVO DE SUELDOS ANUAL FUNCIONARIOS PUBLICOS</t>
  </si>
  <si>
    <t>NOMBRES</t>
  </si>
  <si>
    <t>CARGO</t>
  </si>
  <si>
    <t>REMUNERACION UNIFICADA</t>
  </si>
  <si>
    <t>REMUNERACION UNIFICADA ANUAL</t>
  </si>
  <si>
    <t>DECIMO TERCER SUELDO</t>
  </si>
  <si>
    <t>DECIMO CUARTO SUELDO</t>
  </si>
  <si>
    <t>FONDOS DE RESERVA</t>
  </si>
  <si>
    <t xml:space="preserve">APORTE PATRONAL </t>
  </si>
  <si>
    <t>TOTAL INGRESOS</t>
  </si>
  <si>
    <t>SR. SEBASTIAN JIMENEZ</t>
  </si>
  <si>
    <t xml:space="preserve">PRESIDENTE </t>
  </si>
  <si>
    <t>CPA. ISABEL BUELE</t>
  </si>
  <si>
    <t>SECRETARIA-TESORERA</t>
  </si>
  <si>
    <t>SRA. ANDREA ALEXANDRA GUZMÁN MOROCHO</t>
  </si>
  <si>
    <t xml:space="preserve">VOCAL </t>
  </si>
  <si>
    <t>ABG. MANUEL COYAGO</t>
  </si>
  <si>
    <t>VOCAL</t>
  </si>
  <si>
    <t>SR. ELIAZAR JIMENEZ</t>
  </si>
  <si>
    <t>SRA. CARMEN JUSTINA CABRERA AVILA</t>
  </si>
  <si>
    <t xml:space="preserve"> Ing. Roberto Placencia                                                                                                                                       CPA. Isabel Buele</t>
  </si>
  <si>
    <t xml:space="preserve">      PRESIDENTE DEL GADP CUTCHIL                                                                   SECRETARIA-TESORERA GADP CUTCHIL</t>
  </si>
  <si>
    <t>REMUNERACIONES UNIFICADAS PERSONAL DE INVERSIÓN</t>
  </si>
  <si>
    <t>VIZHÑAY JIMÉNEZ MANUEL VICENTE</t>
  </si>
  <si>
    <t>OPERADOR DE RETROEXCAVADORA</t>
  </si>
  <si>
    <t>KLEVER ROBERTO JIMÉNEZ JIMÉNEZ</t>
  </si>
  <si>
    <t>OPERADOR DE VOLQUETE</t>
  </si>
  <si>
    <t xml:space="preserve">      PRESIDENTE DEL GADP CUTCHIL                                                                  SECRETARIA-TESORERA GADP CUTCHIL</t>
  </si>
  <si>
    <t>VALOR</t>
  </si>
  <si>
    <t>TOTAL MENSUAL</t>
  </si>
  <si>
    <t>TOTAL ANUAL</t>
  </si>
  <si>
    <t>TÉCNICO ARQUITECTO PROYECTO 7</t>
  </si>
  <si>
    <t>TÉCNICO PRODUCCIÓN PROYECTO 9</t>
  </si>
  <si>
    <t>TÉCNICO TURISMO PROYECTO 6</t>
  </si>
  <si>
    <t>TECNICO MAQUINARIA PROYECTO 9</t>
  </si>
  <si>
    <t>TECNICO PROCESOS PROYECTO 7</t>
  </si>
  <si>
    <t>TECNICO MINA PROYECTO 7</t>
  </si>
  <si>
    <t>TÉCNICO EDICION DE VIDEO PROYECTO 1</t>
  </si>
  <si>
    <t xml:space="preserve">      PRESIDENTE DEL GADP CUTCHIL                                                                       SECRETARIA-TESORERA GADP CUTCHIL</t>
  </si>
  <si>
    <t>COMPONENTE</t>
  </si>
  <si>
    <t>OBJETIVO</t>
  </si>
  <si>
    <t>N0</t>
  </si>
  <si>
    <t>Nombre del proyecto</t>
  </si>
  <si>
    <t>Sector de Intervención</t>
  </si>
  <si>
    <t>Medio de verificación</t>
  </si>
  <si>
    <t>Comunidad / Sector</t>
  </si>
  <si>
    <t>Ambito estrategico de intervención</t>
  </si>
  <si>
    <t>Responsable</t>
  </si>
  <si>
    <t>MONTO ESTIMADO DE INVERSIÓN</t>
  </si>
  <si>
    <t>Total Presupuesto</t>
  </si>
  <si>
    <t>ENE-MAR</t>
  </si>
  <si>
    <t>ABR-JUN</t>
  </si>
  <si>
    <t>JUL-SEP</t>
  </si>
  <si>
    <t>OCT-DIC</t>
  </si>
  <si>
    <t>Presupuest o</t>
  </si>
  <si>
    <r>
      <rPr>
        <sz val="11"/>
        <rFont val="Centaur"/>
        <family val="2"/>
      </rPr>
      <t>Meta
Propues ta</t>
    </r>
  </si>
  <si>
    <t>Presupuesto</t>
  </si>
  <si>
    <t>Meta Propuesta</t>
  </si>
  <si>
    <t>SOCIO  CULTURAL</t>
  </si>
  <si>
    <t>Construir espacios de encuentro comun y fortalecer la identidad nacional</t>
  </si>
  <si>
    <t>Técnico</t>
  </si>
  <si>
    <t>INFRAESTRUCTURA</t>
  </si>
  <si>
    <t>Adquisicion de materiales de construccion, consultoria y construccionde y equipamientode las diferentes obras de infraestructura para las diferentes comunidades y area centrica de la parroquia, instalacion, y mantenimiento y reparacion de bienes deportivos y la contratacion de  servicios necesarios para el cumplimiento del proyecto.</t>
  </si>
  <si>
    <t>Convenio, guias de Remisión, factura, acta de entrega Recepción Final,</t>
  </si>
  <si>
    <t>Parroquia Cutchil</t>
  </si>
  <si>
    <t>Presidente Roberto Placencia</t>
  </si>
  <si>
    <t>SUBTOTAL PROYECTO</t>
  </si>
  <si>
    <t>Adquisicion de diferentes bienes y servicios para el cumplimiento del proyecto.</t>
  </si>
  <si>
    <t>DESARROLLO SOCIO CULTURAL</t>
  </si>
  <si>
    <t>Convenio, guias de Remisión, factura, acta de entrega Recepción Final, elaboracion de miniproyectos.</t>
  </si>
  <si>
    <t>Tècnico</t>
  </si>
  <si>
    <t>Mejorar la calidad de vida de las personas del Grupo de Atencion Prioritaria de la parroquia Cutchil</t>
  </si>
  <si>
    <t>Informes, Facturas,actas de entrega-recepcion, control de asistencia, informe de actividades, proyecto del grupo prioritario 2020, actas de socialización.</t>
  </si>
  <si>
    <t>MOVILIDAD, ENERGIA Y CONECTIVIDAD</t>
  </si>
  <si>
    <t>Fortalecer las capacidades y Potencialidad es de la Ciudadania.</t>
  </si>
  <si>
    <t>Facturas, demas justificativos.</t>
  </si>
  <si>
    <t>Fortalecer las capacidades y Potencialidades de la
Ciudadania</t>
  </si>
  <si>
    <t>MEJORAMIENTO, MANTENIMIENTO E IMAGEN DE ESPACIONS PUBLICOS</t>
  </si>
  <si>
    <t>Mejorar la calidad de vida de la poblacion.</t>
  </si>
  <si>
    <t>Contratación de personal y adquisiones de bienes y servicios para el cumplimiento del proyecto</t>
  </si>
  <si>
    <t>factura, contrato, informes y demas justificativos necesarios.</t>
  </si>
  <si>
    <t>Varios</t>
  </si>
  <si>
    <r>
      <rPr>
        <sz val="11"/>
        <rFont val="Centaur"/>
        <family val="2"/>
      </rPr>
      <t>convenios, factura, contrato, informes y demas justificativos
necesarios.</t>
    </r>
  </si>
  <si>
    <t>ECONOMICO O PRODUCTIVO</t>
  </si>
  <si>
    <t>impulsar la transformaci on de matriz productiva</t>
  </si>
  <si>
    <t>adquisiones de bienes y servicios para el cumplimiento del proyecto</t>
  </si>
  <si>
    <r>
      <rPr>
        <sz val="11"/>
        <rFont val="Centaur"/>
        <family val="2"/>
      </rPr>
      <t>convenios, factura,
contrato, informes y demas</t>
    </r>
  </si>
  <si>
    <r>
      <rPr>
        <sz val="11"/>
        <rFont val="Centaur"/>
        <family val="2"/>
      </rPr>
      <t>Presidente
Roberto Placencia</t>
    </r>
  </si>
  <si>
    <t>Suministros para actividades agropecuarias, pezca y caza, capacitación, adquisiciones de diferentes bienes y servicios para el cumplimiento del proyecto.</t>
  </si>
  <si>
    <t>convenios, factura, contrato, informes y demas justificativos necesarios.</t>
  </si>
  <si>
    <t>Subtotal Presupuesto</t>
  </si>
  <si>
    <t>TOTAL PRESUPUESTO</t>
  </si>
  <si>
    <t>REFORMAS</t>
  </si>
  <si>
    <t>INGRESO</t>
  </si>
  <si>
    <t>EGRESO</t>
  </si>
  <si>
    <t>PROYECTO</t>
  </si>
  <si>
    <t>OBSERVACIONES</t>
  </si>
  <si>
    <t>credito BDE</t>
  </si>
  <si>
    <t>volqute</t>
  </si>
  <si>
    <t>intereses</t>
  </si>
  <si>
    <t>capital</t>
  </si>
  <si>
    <t>GAD provincial proyecto textil II fase, presupuesto participativo 2022, ajuste mantenimiento vial 2021</t>
  </si>
  <si>
    <t>ivas estudios</t>
  </si>
  <si>
    <t>proyecto textil ii fase</t>
  </si>
  <si>
    <t>Ajuste puente, presupuesto participativo</t>
  </si>
  <si>
    <t>reforestacion presupuesto participativo, para San Antinio si hay recursos en la partida</t>
  </si>
  <si>
    <t>para navidad</t>
  </si>
  <si>
    <t>73,03,02</t>
  </si>
  <si>
    <t>Pasajes al Exterior</t>
  </si>
  <si>
    <t>pasajes</t>
  </si>
  <si>
    <t>Ajuste de mantenimiento vial 2021</t>
  </si>
  <si>
    <t>comida adulto mayor</t>
  </si>
  <si>
    <t>6k y copa haullil</t>
  </si>
  <si>
    <t>Capacitacion</t>
  </si>
  <si>
    <t>puente</t>
  </si>
  <si>
    <t>navidad</t>
  </si>
  <si>
    <t>maquinaria</t>
  </si>
  <si>
    <t>seguro volquete</t>
  </si>
  <si>
    <t>complemento</t>
  </si>
  <si>
    <t>mina 4146,43</t>
  </si>
  <si>
    <t>arbitro 2730.60</t>
  </si>
  <si>
    <t>DAVID</t>
  </si>
  <si>
    <t>william 720,17</t>
  </si>
  <si>
    <t>VOLQUETAS OTRAS</t>
  </si>
  <si>
    <t>klever 3123,09</t>
  </si>
  <si>
    <t>internet 26,52</t>
  </si>
  <si>
    <t>doña andra 3,06</t>
  </si>
  <si>
    <t>BASQUET</t>
  </si>
  <si>
    <t>aporte personal 417,50</t>
  </si>
  <si>
    <t>INDOR</t>
  </si>
  <si>
    <t>aporte patronal 406,57</t>
  </si>
  <si>
    <t>INDOR SUB 12-12</t>
  </si>
  <si>
    <t>telefono 13,28</t>
  </si>
  <si>
    <t>VOLEY</t>
  </si>
  <si>
    <t>LUZ 54,12</t>
  </si>
  <si>
    <t>andrea caiza 2,40</t>
  </si>
  <si>
    <t>agua potable y riego 11</t>
  </si>
  <si>
    <t>ice 25,75</t>
  </si>
  <si>
    <t>aporte iess vichi 82,29</t>
  </si>
  <si>
    <t>aporte personal v 69,74</t>
  </si>
  <si>
    <t>impuesto renta 460,71 (asiento 75,70 cuando se pague el iva)</t>
  </si>
  <si>
    <t>juan fer 133,32+387,53-136,42</t>
  </si>
  <si>
    <t>COMBUSTIBLE 490,45</t>
  </si>
  <si>
    <t>1conagopare 136,49</t>
  </si>
  <si>
    <t>2conagopare 272,99</t>
  </si>
  <si>
    <t>5x1000 90,83</t>
  </si>
  <si>
    <t>narracion 700</t>
  </si>
  <si>
    <t xml:space="preserve">subtotal </t>
  </si>
  <si>
    <t>eduardo moscoso</t>
  </si>
  <si>
    <t>iva</t>
  </si>
  <si>
    <t>mariela</t>
  </si>
  <si>
    <t>espuma</t>
  </si>
  <si>
    <t>higos</t>
  </si>
  <si>
    <t>tortillas</t>
  </si>
  <si>
    <t>cuyes</t>
  </si>
  <si>
    <t>muro</t>
  </si>
  <si>
    <t>locutor - roberto</t>
  </si>
  <si>
    <t>camisetas</t>
  </si>
  <si>
    <t>mashi - mauricio zhiminaicela</t>
  </si>
  <si>
    <t>TÉCNICO profe escuelita TERAPIAS PROYECTO 1</t>
  </si>
  <si>
    <t>3100 cementerio 71,24 cauciones 1077,64 DEV CONTRATO</t>
  </si>
  <si>
    <t>CONTRUCCION DE SERVICIOS BASICOS</t>
  </si>
  <si>
    <t>GOBIERNO AUTONOMO DESCENTRALIZADO PARROQUIAL DE CUTCHIL
PLAN OPERATIVO ANUAL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</si>
</sst>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$&quot;* #,##0.00_ ;_ &quot;$&quot;* \-#,##0.00_ ;_ &quot;$&quot;* &quot;-&quot;??_ ;_ @_ "/>
    <numFmt numFmtId="164" formatCode="0.00_ "/>
    <numFmt numFmtId="165" formatCode="0.000"/>
    <numFmt numFmtId="166" formatCode="0.0"/>
    <numFmt numFmtId="167" formatCode="&quot;$&quot;\ #,##0.0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entaur"/>
      <family val="2"/>
    </font>
    <font>
      <b/>
      <sz val="11"/>
      <name val="Centaur"/>
      <family val="2"/>
    </font>
    <font>
      <sz val="11"/>
      <name val="Centaur"/>
      <family val="2"/>
    </font>
    <font>
      <sz val="11"/>
      <color rgb="FF000000"/>
      <name val="Centaur"/>
      <family val="2"/>
    </font>
    <font>
      <b/>
      <sz val="11"/>
      <color rgb="FF000000"/>
      <name val="Centaur"/>
      <family val="2"/>
    </font>
    <font>
      <sz val="12"/>
      <name val="Centaur"/>
      <family val="2"/>
    </font>
    <font>
      <sz val="10"/>
      <color theme="1"/>
      <name val="Centaur"/>
      <family val="2"/>
    </font>
    <font>
      <b/>
      <sz val="10"/>
      <color theme="1"/>
      <name val="Centaur"/>
      <family val="2"/>
    </font>
    <font>
      <b/>
      <sz val="11"/>
      <color theme="1"/>
      <name val="Centaur"/>
      <family val="2"/>
    </font>
    <font>
      <b/>
      <sz val="22"/>
      <color theme="0"/>
      <name val="Centaur"/>
      <family val="2"/>
    </font>
    <font>
      <b/>
      <sz val="16"/>
      <color theme="0"/>
      <name val="Centaur"/>
      <family val="2"/>
    </font>
    <font>
      <b/>
      <sz val="11"/>
      <color theme="0"/>
      <name val="Centaur"/>
      <family val="2"/>
    </font>
    <font>
      <b/>
      <sz val="22"/>
      <color theme="1"/>
      <name val="Centaur"/>
      <family val="2"/>
    </font>
    <font>
      <b/>
      <sz val="16"/>
      <color theme="1"/>
      <name val="Centaur"/>
      <family val="2"/>
    </font>
    <font>
      <sz val="11"/>
      <color theme="1"/>
      <name val="Footlight MT Light"/>
      <family val="2"/>
    </font>
    <font>
      <sz val="11"/>
      <color theme="0"/>
      <name val="Centaur"/>
      <family val="2"/>
    </font>
    <font>
      <sz val="11"/>
      <color rgb="FF7030A0"/>
      <name val="Centaur"/>
      <family val="2"/>
    </font>
    <font>
      <sz val="11"/>
      <color rgb="FFFF0000"/>
      <name val="Centaur"/>
      <family val="2"/>
    </font>
    <font>
      <sz val="11"/>
      <color theme="1"/>
      <name val="Century"/>
      <family val="2"/>
    </font>
    <font>
      <sz val="11"/>
      <color theme="9" tint="-0.4999699890613556"/>
      <name val="Centaur"/>
      <family val="2"/>
    </font>
    <font>
      <b/>
      <sz val="10"/>
      <color theme="0"/>
      <name val="Centaur"/>
      <family val="2"/>
    </font>
    <font>
      <sz val="12"/>
      <name val="Courier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rgb="FF000000"/>
      <name val="Centaur"/>
      <family val="1"/>
    </font>
    <font>
      <b/>
      <sz val="10"/>
      <name val="Centaur"/>
      <family val="1"/>
    </font>
    <font>
      <b/>
      <sz val="8"/>
      <name val="Calibri"/>
      <family val="2"/>
    </font>
    <font>
      <sz val="11"/>
      <name val="Calibri"/>
      <family val="2"/>
    </font>
  </fonts>
  <fills count="15">
    <fill>
      <patternFill/>
    </fill>
    <fill>
      <patternFill patternType="gray125"/>
    </fill>
    <fill>
      <patternFill patternType="solid">
        <fgColor theme="7" tint="0.3999100029468536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E16B09"/>
        <bgColor indexed="64"/>
      </patternFill>
    </fill>
    <fill>
      <patternFill patternType="solid">
        <fgColor rgb="FFE3DFEB"/>
        <bgColor indexed="64"/>
      </patternFill>
    </fill>
    <fill>
      <patternFill patternType="solid">
        <fgColor rgb="FF83AF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26" fillId="0" borderId="0">
      <alignment/>
      <protection/>
    </xf>
    <xf numFmtId="49" fontId="26" fillId="0" borderId="0">
      <alignment/>
      <protection/>
    </xf>
  </cellStyleXfs>
  <cellXfs count="288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2" fillId="2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2" fontId="5" fillId="4" borderId="0" xfId="0" applyNumberFormat="1" applyFont="1" applyFill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2" fontId="5" fillId="5" borderId="0" xfId="0" applyNumberFormat="1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2" fontId="5" fillId="6" borderId="0" xfId="0" applyNumberFormat="1" applyFont="1" applyFill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2" fontId="5" fillId="0" borderId="0" xfId="0" applyNumberFormat="1" applyFont="1"/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wrapText="1"/>
    </xf>
    <xf numFmtId="165" fontId="5" fillId="0" borderId="0" xfId="0" applyNumberFormat="1" applyFont="1"/>
    <xf numFmtId="0" fontId="6" fillId="7" borderId="0" xfId="0" applyFont="1" applyFill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textRotation="255" wrapText="1"/>
    </xf>
    <xf numFmtId="1" fontId="8" fillId="0" borderId="13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9" fontId="8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shrinkToFit="1"/>
    </xf>
    <xf numFmtId="2" fontId="9" fillId="0" borderId="10" xfId="0" applyNumberFormat="1" applyFont="1" applyBorder="1" applyAlignment="1">
      <alignment horizontal="center" vertical="center" shrinkToFit="1"/>
    </xf>
    <xf numFmtId="2" fontId="8" fillId="0" borderId="10" xfId="0" applyNumberFormat="1" applyFont="1" applyBorder="1" applyAlignment="1">
      <alignment horizontal="center" vertical="center" shrinkToFit="1"/>
    </xf>
    <xf numFmtId="166" fontId="8" fillId="0" borderId="10" xfId="0" applyNumberFormat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wrapText="1"/>
    </xf>
    <xf numFmtId="9" fontId="7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shrinkToFit="1"/>
    </xf>
    <xf numFmtId="2" fontId="8" fillId="0" borderId="11" xfId="0" applyNumberFormat="1" applyFont="1" applyBorder="1" applyAlignment="1">
      <alignment horizontal="center" vertical="center" shrinkToFit="1"/>
    </xf>
    <xf numFmtId="0" fontId="6" fillId="8" borderId="14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7" xfId="0" applyFont="1" applyBorder="1"/>
    <xf numFmtId="167" fontId="8" fillId="0" borderId="18" xfId="0" applyNumberFormat="1" applyFont="1" applyBorder="1" applyAlignment="1">
      <alignment horizontal="center" vertical="center" shrinkToFit="1"/>
    </xf>
    <xf numFmtId="2" fontId="5" fillId="0" borderId="17" xfId="0" applyNumberFormat="1" applyFont="1" applyBorder="1" applyAlignment="1">
      <alignment horizontal="center" vertical="center"/>
    </xf>
    <xf numFmtId="167" fontId="9" fillId="9" borderId="18" xfId="0" applyNumberFormat="1" applyFont="1" applyFill="1" applyBorder="1" applyAlignment="1">
      <alignment horizontal="center" vertical="center" shrinkToFit="1"/>
    </xf>
    <xf numFmtId="167" fontId="9" fillId="9" borderId="17" xfId="0" applyNumberFormat="1" applyFont="1" applyFill="1" applyBorder="1" applyAlignment="1">
      <alignment horizontal="center" vertical="center" shrinkToFit="1"/>
    </xf>
    <xf numFmtId="0" fontId="6" fillId="7" borderId="19" xfId="0" applyFont="1" applyFill="1" applyBorder="1" applyAlignment="1">
      <alignment horizontal="center" vertical="center" wrapText="1"/>
    </xf>
    <xf numFmtId="2" fontId="5" fillId="0" borderId="17" xfId="0" applyNumberFormat="1" applyFont="1" applyBorder="1"/>
    <xf numFmtId="167" fontId="9" fillId="10" borderId="18" xfId="0" applyNumberFormat="1" applyFont="1" applyFill="1" applyBorder="1" applyAlignment="1">
      <alignment horizontal="center" vertical="center" shrinkToFit="1"/>
    </xf>
    <xf numFmtId="167" fontId="9" fillId="10" borderId="17" xfId="0" applyNumberFormat="1" applyFont="1" applyFill="1" applyBorder="1" applyAlignment="1">
      <alignment horizontal="center" vertical="center" shrinkToFit="1"/>
    </xf>
    <xf numFmtId="167" fontId="9" fillId="10" borderId="17" xfId="0" applyNumberFormat="1" applyFont="1" applyFill="1" applyBorder="1" applyAlignment="1">
      <alignment horizontal="center" vertical="center"/>
    </xf>
    <xf numFmtId="167" fontId="13" fillId="10" borderId="13" xfId="0" applyNumberFormat="1" applyFont="1" applyFill="1" applyBorder="1" applyAlignment="1">
      <alignment horizontal="center" vertical="center" shrinkToFit="1"/>
    </xf>
    <xf numFmtId="167" fontId="13" fillId="10" borderId="17" xfId="0" applyNumberFormat="1" applyFont="1" applyFill="1" applyBorder="1" applyAlignment="1">
      <alignment horizontal="center" vertical="center" shrinkToFit="1"/>
    </xf>
    <xf numFmtId="0" fontId="6" fillId="7" borderId="1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7" fontId="9" fillId="0" borderId="18" xfId="0" applyNumberFormat="1" applyFont="1" applyBorder="1" applyAlignment="1">
      <alignment horizontal="center" vertical="center" shrinkToFit="1"/>
    </xf>
    <xf numFmtId="0" fontId="6" fillId="7" borderId="21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7" fontId="9" fillId="10" borderId="18" xfId="0" applyNumberFormat="1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wrapText="1"/>
    </xf>
    <xf numFmtId="2" fontId="7" fillId="11" borderId="17" xfId="0" applyNumberFormat="1" applyFont="1" applyFill="1" applyBorder="1" applyAlignment="1">
      <alignment wrapText="1"/>
    </xf>
    <xf numFmtId="0" fontId="7" fillId="11" borderId="2" xfId="0" applyFont="1" applyFill="1" applyBorder="1"/>
    <xf numFmtId="2" fontId="7" fillId="11" borderId="3" xfId="0" applyNumberFormat="1" applyFont="1" applyFill="1" applyBorder="1"/>
    <xf numFmtId="2" fontId="6" fillId="11" borderId="17" xfId="0" applyNumberFormat="1" applyFont="1" applyFill="1" applyBorder="1"/>
    <xf numFmtId="0" fontId="7" fillId="11" borderId="17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left" vertical="center" indent="1"/>
    </xf>
    <xf numFmtId="2" fontId="7" fillId="11" borderId="17" xfId="0" applyNumberFormat="1" applyFont="1" applyFill="1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 indent="1"/>
    </xf>
    <xf numFmtId="0" fontId="7" fillId="11" borderId="2" xfId="0" applyFont="1" applyFill="1" applyBorder="1" applyAlignment="1">
      <alignment horizontal="left" vertical="center" indent="1"/>
    </xf>
    <xf numFmtId="2" fontId="7" fillId="11" borderId="3" xfId="0" applyNumberFormat="1" applyFont="1" applyFill="1" applyBorder="1" applyAlignment="1">
      <alignment horizontal="left" vertical="center" indent="1"/>
    </xf>
    <xf numFmtId="2" fontId="6" fillId="11" borderId="17" xfId="0" applyNumberFormat="1" applyFont="1" applyFill="1" applyBorder="1" applyAlignment="1">
      <alignment horizontal="left" vertical="center" indent="1"/>
    </xf>
    <xf numFmtId="164" fontId="5" fillId="0" borderId="0" xfId="0" applyNumberFormat="1" applyFont="1"/>
    <xf numFmtId="0" fontId="17" fillId="0" borderId="4" xfId="0" applyFont="1" applyBorder="1"/>
    <xf numFmtId="0" fontId="18" fillId="0" borderId="4" xfId="0" applyFont="1" applyBorder="1"/>
    <xf numFmtId="0" fontId="16" fillId="7" borderId="22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wrapText="1"/>
    </xf>
    <xf numFmtId="2" fontId="7" fillId="11" borderId="17" xfId="0" applyNumberFormat="1" applyFont="1" applyFill="1" applyBorder="1" applyAlignment="1">
      <alignment horizontal="right"/>
    </xf>
    <xf numFmtId="2" fontId="7" fillId="11" borderId="22" xfId="0" applyNumberFormat="1" applyFont="1" applyFill="1" applyBorder="1" applyAlignment="1">
      <alignment horizontal="right"/>
    </xf>
    <xf numFmtId="0" fontId="6" fillId="11" borderId="4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vertical="center"/>
    </xf>
    <xf numFmtId="0" fontId="7" fillId="11" borderId="17" xfId="0" applyFont="1" applyFill="1" applyBorder="1" applyAlignment="1">
      <alignment vertical="center" wrapText="1"/>
    </xf>
    <xf numFmtId="2" fontId="7" fillId="11" borderId="17" xfId="0" applyNumberFormat="1" applyFont="1" applyFill="1" applyBorder="1" applyAlignment="1">
      <alignment horizontal="right" wrapText="1"/>
    </xf>
    <xf numFmtId="0" fontId="0" fillId="0" borderId="17" xfId="0" applyBorder="1"/>
    <xf numFmtId="0" fontId="5" fillId="0" borderId="17" xfId="0" applyFont="1" applyBorder="1" applyAlignment="1">
      <alignment wrapText="1"/>
    </xf>
    <xf numFmtId="2" fontId="5" fillId="0" borderId="17" xfId="0" applyNumberFormat="1" applyFont="1" applyBorder="1" applyAlignment="1">
      <alignment horizontal="right"/>
    </xf>
    <xf numFmtId="2" fontId="7" fillId="11" borderId="4" xfId="0" applyNumberFormat="1" applyFont="1" applyFill="1" applyBorder="1" applyAlignment="1">
      <alignment horizontal="center" vertical="center"/>
    </xf>
    <xf numFmtId="2" fontId="7" fillId="11" borderId="3" xfId="0" applyNumberFormat="1" applyFont="1" applyFill="1" applyBorder="1" applyAlignment="1">
      <alignment horizontal="right"/>
    </xf>
    <xf numFmtId="2" fontId="6" fillId="11" borderId="17" xfId="0" applyNumberFormat="1" applyFont="1" applyFill="1" applyBorder="1" applyAlignment="1">
      <alignment horizontal="right"/>
    </xf>
    <xf numFmtId="2" fontId="6" fillId="11" borderId="22" xfId="0" applyNumberFormat="1" applyFont="1" applyFill="1" applyBorder="1" applyAlignment="1">
      <alignment horizontal="right"/>
    </xf>
    <xf numFmtId="2" fontId="6" fillId="11" borderId="4" xfId="0" applyNumberFormat="1" applyFont="1" applyFill="1" applyBorder="1"/>
    <xf numFmtId="0" fontId="17" fillId="0" borderId="0" xfId="0" applyFont="1"/>
    <xf numFmtId="0" fontId="18" fillId="0" borderId="0" xfId="0" applyFont="1"/>
    <xf numFmtId="0" fontId="6" fillId="11" borderId="0" xfId="0" applyFont="1" applyFill="1" applyAlignment="1">
      <alignment horizontal="center" wrapText="1"/>
    </xf>
    <xf numFmtId="2" fontId="6" fillId="11" borderId="0" xfId="0" applyNumberFormat="1" applyFont="1" applyFill="1" applyAlignment="1">
      <alignment horizontal="center" vertical="center" wrapText="1"/>
    </xf>
    <xf numFmtId="2" fontId="6" fillId="11" borderId="0" xfId="0" applyNumberFormat="1" applyFont="1" applyFill="1"/>
    <xf numFmtId="0" fontId="19" fillId="0" borderId="0" xfId="0" applyFont="1"/>
    <xf numFmtId="0" fontId="13" fillId="0" borderId="0" xfId="0" applyFont="1" applyAlignment="1">
      <alignment horizontal="center" wrapText="1"/>
    </xf>
    <xf numFmtId="0" fontId="5" fillId="7" borderId="0" xfId="0" applyFont="1" applyFill="1"/>
    <xf numFmtId="0" fontId="16" fillId="7" borderId="0" xfId="0" applyFont="1" applyFill="1" applyAlignment="1">
      <alignment horizontal="left" vertical="center"/>
    </xf>
    <xf numFmtId="0" fontId="16" fillId="7" borderId="0" xfId="0" applyFont="1" applyFill="1"/>
    <xf numFmtId="0" fontId="13" fillId="0" borderId="0" xfId="0" applyFont="1"/>
    <xf numFmtId="0" fontId="20" fillId="7" borderId="0" xfId="0" applyFont="1" applyFill="1"/>
    <xf numFmtId="0" fontId="5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7" xfId="0" applyFont="1" applyBorder="1"/>
    <xf numFmtId="0" fontId="13" fillId="0" borderId="22" xfId="0" applyFont="1" applyBorder="1"/>
    <xf numFmtId="2" fontId="5" fillId="0" borderId="22" xfId="0" applyNumberFormat="1" applyFont="1" applyBorder="1"/>
    <xf numFmtId="2" fontId="13" fillId="0" borderId="17" xfId="0" applyNumberFormat="1" applyFont="1" applyBorder="1"/>
    <xf numFmtId="2" fontId="13" fillId="0" borderId="22" xfId="0" applyNumberFormat="1" applyFont="1" applyBorder="1"/>
    <xf numFmtId="0" fontId="20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left" vertical="center"/>
    </xf>
    <xf numFmtId="2" fontId="21" fillId="0" borderId="17" xfId="0" applyNumberFormat="1" applyFont="1" applyBorder="1"/>
    <xf numFmtId="2" fontId="22" fillId="0" borderId="17" xfId="0" applyNumberFormat="1" applyFont="1" applyBorder="1"/>
    <xf numFmtId="0" fontId="23" fillId="0" borderId="0" xfId="0" applyFont="1"/>
    <xf numFmtId="44" fontId="23" fillId="0" borderId="0" xfId="20" applyFont="1" applyFill="1" applyBorder="1"/>
    <xf numFmtId="0" fontId="16" fillId="7" borderId="17" xfId="0" applyFont="1" applyFill="1" applyBorder="1" applyAlignment="1">
      <alignment horizontal="center"/>
    </xf>
    <xf numFmtId="2" fontId="13" fillId="0" borderId="0" xfId="0" applyNumberFormat="1" applyFont="1"/>
    <xf numFmtId="2" fontId="24" fillId="12" borderId="17" xfId="0" applyNumberFormat="1" applyFont="1" applyFill="1" applyBorder="1"/>
    <xf numFmtId="0" fontId="5" fillId="12" borderId="0" xfId="0" applyFont="1" applyFill="1"/>
    <xf numFmtId="0" fontId="23" fillId="12" borderId="0" xfId="0" applyFont="1" applyFill="1"/>
    <xf numFmtId="0" fontId="13" fillId="12" borderId="0" xfId="0" applyFont="1" applyFill="1"/>
    <xf numFmtId="0" fontId="7" fillId="7" borderId="0" xfId="0" applyFont="1" applyFill="1"/>
    <xf numFmtId="2" fontId="24" fillId="0" borderId="17" xfId="0" applyNumberFormat="1" applyFont="1" applyBorder="1"/>
    <xf numFmtId="0" fontId="19" fillId="0" borderId="17" xfId="0" applyFont="1" applyBorder="1"/>
    <xf numFmtId="164" fontId="19" fillId="0" borderId="17" xfId="0" applyNumberFormat="1" applyFont="1" applyBorder="1"/>
    <xf numFmtId="0" fontId="13" fillId="0" borderId="23" xfId="0" applyFont="1" applyBorder="1"/>
    <xf numFmtId="2" fontId="13" fillId="0" borderId="23" xfId="0" applyNumberFormat="1" applyFont="1" applyBorder="1"/>
    <xf numFmtId="2" fontId="5" fillId="13" borderId="17" xfId="0" applyNumberFormat="1" applyFont="1" applyFill="1" applyBorder="1"/>
    <xf numFmtId="0" fontId="16" fillId="7" borderId="0" xfId="0" applyFont="1" applyFill="1" applyAlignment="1">
      <alignment vertical="center"/>
    </xf>
    <xf numFmtId="0" fontId="20" fillId="7" borderId="0" xfId="0" applyFont="1" applyFill="1" applyAlignment="1">
      <alignment vertical="center"/>
    </xf>
    <xf numFmtId="0" fontId="5" fillId="0" borderId="17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20" fillId="7" borderId="0" xfId="0" applyFont="1" applyFill="1" applyAlignment="1">
      <alignment horizontal="center"/>
    </xf>
    <xf numFmtId="0" fontId="13" fillId="0" borderId="0" xfId="0" applyFont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49" fontId="5" fillId="0" borderId="17" xfId="0" applyNumberFormat="1" applyFont="1" applyBorder="1" applyAlignment="1" quotePrefix="1">
      <alignment horizontal="center" vertical="center"/>
    </xf>
    <xf numFmtId="0" fontId="5" fillId="0" borderId="17" xfId="0" applyFont="1" applyBorder="1" quotePrefix="1"/>
    <xf numFmtId="0" fontId="19" fillId="0" borderId="17" xfId="0" applyFont="1" applyBorder="1" quotePrefix="1"/>
    <xf numFmtId="0" fontId="5" fillId="0" borderId="0" xfId="0" applyFont="1" applyAlignment="1" quotePrefix="1">
      <alignment wrapText="1"/>
    </xf>
    <xf numFmtId="2" fontId="5" fillId="14" borderId="17" xfId="0" applyNumberFormat="1" applyFont="1" applyFill="1" applyBorder="1"/>
    <xf numFmtId="2" fontId="21" fillId="14" borderId="17" xfId="0" applyNumberFormat="1" applyFont="1" applyFill="1" applyBorder="1"/>
    <xf numFmtId="2" fontId="23" fillId="0" borderId="0" xfId="0" applyNumberFormat="1" applyFont="1"/>
    <xf numFmtId="0" fontId="16" fillId="7" borderId="0" xfId="0" applyFont="1" applyFill="1" applyAlignment="1">
      <alignment horizontal="left" vertical="center"/>
    </xf>
    <xf numFmtId="0" fontId="0" fillId="12" borderId="0" xfId="0" applyFill="1"/>
    <xf numFmtId="2" fontId="5" fillId="12" borderId="17" xfId="0" applyNumberFormat="1" applyFont="1" applyFill="1" applyBorder="1"/>
    <xf numFmtId="1" fontId="8" fillId="0" borderId="10" xfId="0" applyNumberFormat="1" applyFont="1" applyBorder="1" applyAlignment="1">
      <alignment horizontal="center" vertical="center" wrapText="1"/>
    </xf>
    <xf numFmtId="2" fontId="6" fillId="10" borderId="19" xfId="0" applyNumberFormat="1" applyFont="1" applyFill="1" applyBorder="1" applyAlignment="1">
      <alignment horizontal="center" vertical="center" wrapText="1"/>
    </xf>
    <xf numFmtId="166" fontId="6" fillId="10" borderId="19" xfId="0" applyNumberFormat="1" applyFont="1" applyFill="1" applyBorder="1" applyAlignment="1">
      <alignment horizontal="center" vertical="center" wrapText="1"/>
    </xf>
    <xf numFmtId="2" fontId="6" fillId="10" borderId="14" xfId="0" applyNumberFormat="1" applyFont="1" applyFill="1" applyBorder="1" applyAlignment="1">
      <alignment horizontal="center" vertical="center" wrapText="1"/>
    </xf>
    <xf numFmtId="1" fontId="6" fillId="10" borderId="19" xfId="0" applyNumberFormat="1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25" fillId="7" borderId="0" xfId="0" applyFont="1" applyFill="1" applyAlignment="1">
      <alignment horizontal="center" vertical="center"/>
    </xf>
    <xf numFmtId="14" fontId="25" fillId="7" borderId="0" xfId="0" applyNumberFormat="1" applyFont="1" applyFill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/>
    </xf>
    <xf numFmtId="3" fontId="25" fillId="7" borderId="22" xfId="0" applyNumberFormat="1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/>
    </xf>
    <xf numFmtId="0" fontId="16" fillId="7" borderId="7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4" fillId="7" borderId="17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7" borderId="22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shrinkToFit="1"/>
    </xf>
    <xf numFmtId="1" fontId="8" fillId="0" borderId="11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67" fontId="29" fillId="10" borderId="18" xfId="0" applyNumberFormat="1" applyFont="1" applyFill="1" applyBorder="1" applyAlignment="1">
      <alignment horizontal="center" vertical="center"/>
    </xf>
    <xf numFmtId="167" fontId="29" fillId="10" borderId="17" xfId="0" applyNumberFormat="1" applyFont="1" applyFill="1" applyBorder="1" applyAlignment="1">
      <alignment horizontal="center" vertical="center"/>
    </xf>
    <xf numFmtId="0" fontId="30" fillId="10" borderId="19" xfId="0" applyFont="1" applyFill="1" applyBorder="1" applyAlignment="1">
      <alignment horizontal="center" vertical="center" wrapText="1"/>
    </xf>
    <xf numFmtId="0" fontId="11" fillId="0" borderId="17" xfId="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41</xdr:row>
      <xdr:rowOff>19050</xdr:rowOff>
    </xdr:from>
    <xdr:to>
      <xdr:col>8</xdr:col>
      <xdr:colOff>19050</xdr:colOff>
      <xdr:row>46</xdr:row>
      <xdr:rowOff>19050</xdr:rowOff>
    </xdr:to>
    <xdr:sp macro="" textlink="">
      <xdr:nvSpPr>
        <xdr:cNvPr id="2" name="Cuadro de texto 2"/>
        <xdr:cNvSpPr txBox="1">
          <a:spLocks noChangeArrowheads="1"/>
        </xdr:cNvSpPr>
      </xdr:nvSpPr>
      <xdr:spPr>
        <a:xfrm>
          <a:off x="4286250" y="28460700"/>
          <a:ext cx="1466850" cy="952500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es-MX" sz="1100" b="1">
              <a:effectLst/>
              <a:latin typeface="Centaur" panose="02030504050205020304" pitchFamily="18" charset="0"/>
              <a:ea typeface="SimSun" panose="02010600030101010101" pitchFamily="7" charset="-122"/>
              <a:cs typeface="Arial" panose="020B0604020202020204" pitchFamily="7" charset="0"/>
            </a:rPr>
            <a:t>…………………………………</a:t>
          </a:r>
          <a:endParaRPr lang="es-EC" sz="1100">
            <a:effectLst/>
            <a:latin typeface="Centaur" panose="02030504050205020304" pitchFamily="18" charset="0"/>
            <a:ea typeface="SimSun" panose="02010600030101010101" pitchFamily="7" charset="-122"/>
          </a:endParaRPr>
        </a:p>
        <a:p>
          <a:pPr algn="ctr">
            <a:spcAft>
              <a:spcPts val="0"/>
            </a:spcAft>
          </a:pPr>
          <a:r>
            <a:rPr lang="es-EC" sz="1100" b="0">
              <a:effectLst/>
              <a:latin typeface="Centaur" panose="02030504050205020304" pitchFamily="18" charset="0"/>
              <a:ea typeface="SimSun" panose="02010600030101010101" pitchFamily="7" charset="-122"/>
              <a:cs typeface="Arial" panose="020B0604020202020204" pitchFamily="7" charset="0"/>
            </a:rPr>
            <a:t>Sr. Sebastian</a:t>
          </a:r>
          <a:r>
            <a:rPr lang="es-EC" sz="1100" b="0" baseline="0">
              <a:effectLst/>
              <a:latin typeface="Centaur" panose="02030504050205020304" pitchFamily="18" charset="0"/>
              <a:ea typeface="SimSun" panose="02010600030101010101" pitchFamily="7" charset="-122"/>
              <a:cs typeface="Arial" panose="020B0604020202020204" pitchFamily="7" charset="0"/>
            </a:rPr>
            <a:t> Jimenez</a:t>
          </a:r>
          <a:endParaRPr lang="es-EC" sz="1100" b="0">
            <a:effectLst/>
            <a:latin typeface="Centaur" panose="02030504050205020304" pitchFamily="18" charset="0"/>
            <a:ea typeface="SimSun" panose="02010600030101010101" pitchFamily="7" charset="-122"/>
          </a:endParaRPr>
        </a:p>
        <a:p>
          <a:pPr algn="ctr">
            <a:spcAft>
              <a:spcPts val="0"/>
            </a:spcAft>
          </a:pPr>
          <a:r>
            <a:rPr lang="es-MX" sz="1100" b="1">
              <a:effectLst/>
              <a:latin typeface="Centaur" panose="02030504050205020304" pitchFamily="18" charset="0"/>
              <a:ea typeface="SimSun" panose="02010600030101010101" pitchFamily="7" charset="-122"/>
              <a:cs typeface="Arial" panose="020B0604020202020204" pitchFamily="7" charset="0"/>
            </a:rPr>
            <a:t>PRESIDENTE</a:t>
          </a:r>
          <a:endParaRPr lang="es-EC" sz="1100">
            <a:effectLst/>
            <a:latin typeface="Centaur" panose="02030504050205020304" pitchFamily="18" charset="0"/>
            <a:ea typeface="SimSun" panose="02010600030101010101" pitchFamily="7" charset="-122"/>
          </a:endParaRPr>
        </a:p>
        <a:p>
          <a:pPr algn="ctr">
            <a:spcAft>
              <a:spcPts val="0"/>
            </a:spcAft>
          </a:pPr>
          <a:r>
            <a:rPr lang="es-MX" sz="1100" b="1">
              <a:effectLst/>
              <a:latin typeface="Centaur" panose="02030504050205020304" pitchFamily="18" charset="0"/>
              <a:ea typeface="SimSun" panose="02010600030101010101" pitchFamily="7" charset="-122"/>
              <a:cs typeface="Arial" panose="020B0604020202020204" pitchFamily="7" charset="0"/>
            </a:rPr>
            <a:t> GAD PARROQUIAL CUTCHIL</a:t>
          </a:r>
          <a:endParaRPr lang="es-EC" sz="1100">
            <a:effectLst/>
            <a:latin typeface="Centaur" panose="02030504050205020304" pitchFamily="18" charset="0"/>
            <a:ea typeface="SimSun" panose="02010600030101010101" pitchFamily="7" charset="-122"/>
          </a:endParaRPr>
        </a:p>
      </xdr:txBody>
    </xdr:sp>
    <xdr:clientData/>
  </xdr:twoCellAnchor>
  <xdr:twoCellAnchor>
    <xdr:from>
      <xdr:col>10</xdr:col>
      <xdr:colOff>28575</xdr:colOff>
      <xdr:row>41</xdr:row>
      <xdr:rowOff>9525</xdr:rowOff>
    </xdr:from>
    <xdr:to>
      <xdr:col>13</xdr:col>
      <xdr:colOff>238125</xdr:colOff>
      <xdr:row>46</xdr:row>
      <xdr:rowOff>9525</xdr:rowOff>
    </xdr:to>
    <xdr:sp macro="" textlink="">
      <xdr:nvSpPr>
        <xdr:cNvPr id="3" name="Cuadro de texto 2"/>
        <xdr:cNvSpPr txBox="1">
          <a:spLocks noChangeArrowheads="1"/>
        </xdr:cNvSpPr>
      </xdr:nvSpPr>
      <xdr:spPr>
        <a:xfrm>
          <a:off x="7496175" y="28451175"/>
          <a:ext cx="2362200" cy="952500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es-MX" sz="1100" b="1">
              <a:effectLst/>
              <a:latin typeface="Centaur" panose="02030504050205020304" pitchFamily="18" charset="0"/>
              <a:ea typeface="SimSun" panose="02010600030101010101" pitchFamily="7" charset="-122"/>
              <a:cs typeface="Arial" panose="020B0604020202020204" pitchFamily="7" charset="0"/>
            </a:rPr>
            <a:t>…………………………………</a:t>
          </a:r>
          <a:endParaRPr lang="es-EC" sz="1100">
            <a:effectLst/>
            <a:latin typeface="Centaur" panose="02030504050205020304" pitchFamily="18" charset="0"/>
            <a:ea typeface="SimSun" panose="02010600030101010101" pitchFamily="7" charset="-122"/>
          </a:endParaRPr>
        </a:p>
        <a:p>
          <a:pPr algn="ctr">
            <a:spcAft>
              <a:spcPts val="0"/>
            </a:spcAft>
          </a:pPr>
          <a:r>
            <a:rPr lang="es-EC" sz="1100" b="0">
              <a:effectLst/>
              <a:latin typeface="Centaur" panose="02030504050205020304" pitchFamily="18" charset="0"/>
              <a:ea typeface="SimSun" panose="02010600030101010101" pitchFamily="7" charset="-122"/>
              <a:cs typeface="Arial" panose="020B0604020202020204" pitchFamily="7" charset="0"/>
            </a:rPr>
            <a:t>CPA. Isabel</a:t>
          </a:r>
          <a:r>
            <a:rPr lang="es-EC" sz="1100" b="0" baseline="0">
              <a:effectLst/>
              <a:latin typeface="Centaur" panose="02030504050205020304" pitchFamily="18" charset="0"/>
              <a:ea typeface="SimSun" panose="02010600030101010101" pitchFamily="7" charset="-122"/>
              <a:cs typeface="Arial" panose="020B0604020202020204" pitchFamily="7" charset="0"/>
            </a:rPr>
            <a:t> Buele</a:t>
          </a:r>
          <a:endParaRPr lang="es-EC" sz="1100" b="0">
            <a:effectLst/>
            <a:latin typeface="Centaur" panose="02030504050205020304" pitchFamily="18" charset="0"/>
            <a:ea typeface="SimSun" panose="02010600030101010101" pitchFamily="7" charset="-122"/>
          </a:endParaRPr>
        </a:p>
        <a:p>
          <a:pPr algn="ctr">
            <a:spcAft>
              <a:spcPts val="0"/>
            </a:spcAft>
          </a:pPr>
          <a:r>
            <a:rPr lang="es-EC" sz="1100" b="1">
              <a:effectLst/>
              <a:latin typeface="Centaur" panose="02030504050205020304" pitchFamily="18" charset="0"/>
              <a:ea typeface="SimSun" panose="02010600030101010101" pitchFamily="7" charset="-122"/>
              <a:cs typeface="Arial" panose="020B0604020202020204" pitchFamily="7" charset="0"/>
            </a:rPr>
            <a:t>SECRETARIA-TESORERA</a:t>
          </a:r>
          <a:endParaRPr lang="es-EC" sz="1100">
            <a:effectLst/>
            <a:latin typeface="Centaur" panose="02030504050205020304" pitchFamily="18" charset="0"/>
            <a:ea typeface="SimSun" panose="02010600030101010101" pitchFamily="7" charset="-122"/>
          </a:endParaRPr>
        </a:p>
        <a:p>
          <a:pPr algn="ctr">
            <a:spcAft>
              <a:spcPts val="0"/>
            </a:spcAft>
          </a:pPr>
          <a:r>
            <a:rPr lang="es-MX" sz="1100" b="1">
              <a:effectLst/>
              <a:latin typeface="Centaur" panose="02030504050205020304" pitchFamily="18" charset="0"/>
              <a:ea typeface="SimSun" panose="02010600030101010101" pitchFamily="7" charset="-122"/>
              <a:cs typeface="Arial" panose="020B0604020202020204" pitchFamily="7" charset="0"/>
            </a:rPr>
            <a:t> GAD PARROQUIAL CUTCHIL</a:t>
          </a:r>
          <a:endParaRPr lang="es-EC" sz="1100">
            <a:effectLst/>
            <a:latin typeface="Centaur" panose="02030504050205020304" pitchFamily="18" charset="0"/>
            <a:ea typeface="SimSun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5"/>
  <sheetViews>
    <sheetView zoomScale="85" zoomScaleNormal="85" workbookViewId="0" topLeftCell="A83">
      <selection activeCell="F53" sqref="F53:F104"/>
    </sheetView>
  </sheetViews>
  <sheetFormatPr defaultColWidth="11.00390625" defaultRowHeight="15"/>
  <cols>
    <col min="1" max="1" width="12.140625" style="5" customWidth="1"/>
    <col min="2" max="2" width="66.28125" style="0" customWidth="1"/>
    <col min="3" max="3" width="14.140625" style="5" customWidth="1"/>
    <col min="4" max="4" width="13.7109375" style="5" customWidth="1"/>
    <col min="5" max="5" width="14.140625" style="5" customWidth="1"/>
    <col min="6" max="6" width="13.57421875" style="5" customWidth="1"/>
    <col min="7" max="7" width="14.421875" style="5" customWidth="1"/>
    <col min="8" max="8" width="13.421875" style="0" customWidth="1"/>
    <col min="9" max="9" width="13.7109375" style="0" customWidth="1"/>
    <col min="10" max="10" width="11.57421875" style="0" customWidth="1"/>
    <col min="11" max="11" width="18.421875" style="0" customWidth="1"/>
    <col min="12" max="12" width="11.57421875" style="0" customWidth="1"/>
  </cols>
  <sheetData>
    <row r="1" spans="1:9" ht="15">
      <c r="A1" s="213" t="s">
        <v>0</v>
      </c>
      <c r="B1" s="213"/>
      <c r="C1" s="213"/>
      <c r="D1" s="213"/>
      <c r="E1" s="213"/>
      <c r="F1" s="154"/>
      <c r="G1" s="154"/>
      <c r="H1" s="10"/>
      <c r="I1" s="10"/>
    </row>
    <row r="2" spans="1:9" ht="15">
      <c r="A2" s="214" t="s">
        <v>1</v>
      </c>
      <c r="B2" s="214"/>
      <c r="C2" s="214"/>
      <c r="D2" s="214"/>
      <c r="E2" s="214"/>
      <c r="F2" s="154"/>
      <c r="G2" s="154"/>
      <c r="H2" s="10"/>
      <c r="I2" s="10"/>
    </row>
    <row r="3" spans="1:9" ht="26.25" customHeight="1">
      <c r="A3" s="220" t="s">
        <v>2</v>
      </c>
      <c r="B3" s="220" t="s">
        <v>3</v>
      </c>
      <c r="C3" s="220"/>
      <c r="D3" s="221" t="s">
        <v>4</v>
      </c>
      <c r="E3" s="220"/>
      <c r="F3" s="218" t="s">
        <v>5</v>
      </c>
      <c r="G3" s="219" t="s">
        <v>6</v>
      </c>
      <c r="H3" s="10"/>
      <c r="I3" s="10"/>
    </row>
    <row r="4" spans="1:9" ht="15">
      <c r="A4" s="220"/>
      <c r="B4" s="220"/>
      <c r="C4" s="220"/>
      <c r="D4" s="221"/>
      <c r="E4" s="220"/>
      <c r="F4" s="218"/>
      <c r="G4" s="219"/>
      <c r="H4" s="10"/>
      <c r="I4" s="10"/>
    </row>
    <row r="5" spans="1:11" ht="28.5">
      <c r="A5" s="89" t="s">
        <v>7</v>
      </c>
      <c r="B5" s="135" t="s">
        <v>8</v>
      </c>
      <c r="C5" s="89"/>
      <c r="D5" s="95">
        <v>3000</v>
      </c>
      <c r="E5" s="184"/>
      <c r="F5" s="185"/>
      <c r="G5" s="186">
        <f aca="true" t="shared" si="0" ref="G5:G14">+D5+F5</f>
        <v>3000</v>
      </c>
      <c r="H5" s="10"/>
      <c r="I5" s="10"/>
      <c r="J5">
        <v>3000</v>
      </c>
      <c r="K5" s="7"/>
    </row>
    <row r="6" spans="1:11" ht="15">
      <c r="A6" s="89" t="s">
        <v>9</v>
      </c>
      <c r="B6" s="89" t="s">
        <v>10</v>
      </c>
      <c r="C6" s="89"/>
      <c r="D6" s="95">
        <f>170*425</f>
        <v>72250</v>
      </c>
      <c r="E6" s="185"/>
      <c r="F6" s="185"/>
      <c r="G6" s="186">
        <f t="shared" si="0"/>
        <v>72250</v>
      </c>
      <c r="H6" s="53"/>
      <c r="I6" s="10"/>
      <c r="J6">
        <v>72249.96</v>
      </c>
      <c r="K6" s="7"/>
    </row>
    <row r="7" spans="1:14" ht="15">
      <c r="A7" s="89" t="s">
        <v>11</v>
      </c>
      <c r="B7" s="89" t="s">
        <v>12</v>
      </c>
      <c r="C7" s="89"/>
      <c r="D7" s="95">
        <v>2000</v>
      </c>
      <c r="E7" s="185"/>
      <c r="F7" s="185">
        <f>1500+1049</f>
        <v>2549</v>
      </c>
      <c r="G7" s="186">
        <f t="shared" si="0"/>
        <v>4549</v>
      </c>
      <c r="H7" s="10" t="s">
        <v>476</v>
      </c>
      <c r="I7" s="10"/>
      <c r="J7" s="204">
        <f>3100+71.24+1077.64</f>
        <v>4248.88</v>
      </c>
      <c r="K7" s="7"/>
      <c r="M7">
        <v>1077.64</v>
      </c>
      <c r="N7">
        <v>71.24</v>
      </c>
    </row>
    <row r="8" spans="1:14" ht="28.5">
      <c r="A8" s="89" t="s">
        <v>13</v>
      </c>
      <c r="B8" s="187" t="s">
        <v>14</v>
      </c>
      <c r="C8" s="89"/>
      <c r="D8" s="95">
        <f>45595.99+40766.92</f>
        <v>86362.91</v>
      </c>
      <c r="E8" s="185"/>
      <c r="F8" s="186">
        <f>+REFORMAS!C13</f>
        <v>60172.67</v>
      </c>
      <c r="G8" s="186">
        <f t="shared" si="0"/>
        <v>146535.58000000002</v>
      </c>
      <c r="H8" s="10"/>
      <c r="I8" s="10"/>
      <c r="J8">
        <v>100939.59</v>
      </c>
      <c r="K8" s="7"/>
      <c r="N8">
        <f>4548.88-N7-M7</f>
        <v>3400</v>
      </c>
    </row>
    <row r="9" spans="1:11" ht="15">
      <c r="A9" s="89" t="s">
        <v>15</v>
      </c>
      <c r="B9" s="89" t="s">
        <v>16</v>
      </c>
      <c r="C9" s="89"/>
      <c r="D9" s="95">
        <f>159922.64-72250</f>
        <v>87672.64000000001</v>
      </c>
      <c r="E9" s="185"/>
      <c r="F9" s="185">
        <v>11696</v>
      </c>
      <c r="G9" s="186">
        <f t="shared" si="0"/>
        <v>99368.64000000001</v>
      </c>
      <c r="H9" s="53">
        <f>+G9/12</f>
        <v>8280.720000000001</v>
      </c>
      <c r="I9" s="10"/>
      <c r="J9">
        <v>99368.4</v>
      </c>
      <c r="K9" s="7"/>
    </row>
    <row r="10" spans="1:11" ht="15">
      <c r="A10" s="89" t="s">
        <v>17</v>
      </c>
      <c r="B10" s="89" t="s">
        <v>18</v>
      </c>
      <c r="C10" s="89"/>
      <c r="D10" s="95">
        <v>0.02</v>
      </c>
      <c r="E10" s="185"/>
      <c r="F10" s="186">
        <f>+REFORMAS!C3</f>
        <v>79890</v>
      </c>
      <c r="G10" s="186">
        <f t="shared" si="0"/>
        <v>79890.02</v>
      </c>
      <c r="H10" s="53"/>
      <c r="I10" s="10"/>
      <c r="J10" s="204">
        <v>79800</v>
      </c>
      <c r="K10" s="7"/>
    </row>
    <row r="11" spans="1:11" ht="15">
      <c r="A11" s="89" t="s">
        <v>19</v>
      </c>
      <c r="B11" s="89" t="s">
        <v>20</v>
      </c>
      <c r="C11" s="89"/>
      <c r="D11" s="95">
        <v>0.01</v>
      </c>
      <c r="E11" s="185"/>
      <c r="F11" s="185"/>
      <c r="G11" s="186">
        <f t="shared" si="0"/>
        <v>0.01</v>
      </c>
      <c r="H11" s="10"/>
      <c r="I11" s="10"/>
      <c r="K11" s="7"/>
    </row>
    <row r="12" spans="1:11" ht="15">
      <c r="A12" s="89" t="s">
        <v>21</v>
      </c>
      <c r="B12" s="89" t="s">
        <v>22</v>
      </c>
      <c r="C12" s="89"/>
      <c r="D12" s="95">
        <v>132090.28</v>
      </c>
      <c r="E12" s="185"/>
      <c r="F12" s="185"/>
      <c r="G12" s="186">
        <f t="shared" si="0"/>
        <v>132090.28</v>
      </c>
      <c r="H12" s="10"/>
      <c r="I12" s="53"/>
      <c r="K12" s="7"/>
    </row>
    <row r="13" spans="1:11" ht="15">
      <c r="A13" s="89" t="s">
        <v>23</v>
      </c>
      <c r="B13" s="89" t="s">
        <v>24</v>
      </c>
      <c r="C13" s="89"/>
      <c r="D13" s="95">
        <f>21416+13649.49</f>
        <v>35065.49</v>
      </c>
      <c r="E13" s="185"/>
      <c r="F13" s="185"/>
      <c r="G13" s="186">
        <f t="shared" si="0"/>
        <v>35065.49</v>
      </c>
      <c r="H13" s="10" t="s">
        <v>25</v>
      </c>
      <c r="I13" s="10"/>
      <c r="J13">
        <v>34467.85</v>
      </c>
      <c r="K13" s="7"/>
    </row>
    <row r="14" spans="1:11" ht="42">
      <c r="A14" s="89" t="s">
        <v>26</v>
      </c>
      <c r="B14" s="135" t="s">
        <v>27</v>
      </c>
      <c r="C14" s="89"/>
      <c r="D14" s="95">
        <f>1653.42+2.39</f>
        <v>1655.8100000000002</v>
      </c>
      <c r="E14" s="185"/>
      <c r="F14" s="185"/>
      <c r="G14" s="186">
        <f t="shared" si="0"/>
        <v>1655.8100000000002</v>
      </c>
      <c r="H14" s="10" t="s">
        <v>25</v>
      </c>
      <c r="I14" s="53"/>
      <c r="K14" s="7"/>
    </row>
    <row r="15" spans="1:11" ht="15">
      <c r="A15" s="89" t="s">
        <v>28</v>
      </c>
      <c r="B15" s="215" t="s">
        <v>29</v>
      </c>
      <c r="C15" s="215"/>
      <c r="D15" s="159">
        <f>SUM(D5:D14)</f>
        <v>420097.16</v>
      </c>
      <c r="E15" s="159">
        <f aca="true" t="shared" si="1" ref="E15:K15">SUM(E5:E14)</f>
        <v>0</v>
      </c>
      <c r="F15" s="159">
        <f t="shared" si="1"/>
        <v>154307.66999999998</v>
      </c>
      <c r="G15" s="159">
        <f t="shared" si="1"/>
        <v>574404.8300000001</v>
      </c>
      <c r="H15" s="159">
        <f t="shared" si="1"/>
        <v>8280.720000000001</v>
      </c>
      <c r="I15" s="159">
        <f t="shared" si="1"/>
        <v>0</v>
      </c>
      <c r="J15" s="159">
        <f>SUM(J5:J14)</f>
        <v>394074.67999999993</v>
      </c>
      <c r="K15" s="159">
        <f t="shared" si="1"/>
        <v>0</v>
      </c>
    </row>
    <row r="16" spans="1:9" ht="15">
      <c r="A16" s="154"/>
      <c r="B16" s="10"/>
      <c r="C16" s="154"/>
      <c r="D16" s="154"/>
      <c r="E16" s="154"/>
      <c r="F16" s="154"/>
      <c r="G16" s="154"/>
      <c r="H16" s="10"/>
      <c r="I16" s="10"/>
    </row>
    <row r="17" spans="1:9" ht="15">
      <c r="A17" s="154"/>
      <c r="B17" s="10"/>
      <c r="C17" s="154"/>
      <c r="D17" s="154"/>
      <c r="E17" s="154"/>
      <c r="F17" s="154"/>
      <c r="G17" s="154"/>
      <c r="H17" s="10"/>
      <c r="I17" s="10"/>
    </row>
    <row r="18" spans="1:9" ht="15">
      <c r="A18" s="154"/>
      <c r="B18" s="10"/>
      <c r="C18" s="154"/>
      <c r="D18" s="154"/>
      <c r="E18" s="154"/>
      <c r="F18" s="154"/>
      <c r="G18" s="154"/>
      <c r="H18" s="10"/>
      <c r="I18" s="10"/>
    </row>
    <row r="19" spans="1:9" ht="15">
      <c r="A19" s="216" t="s">
        <v>30</v>
      </c>
      <c r="B19" s="216"/>
      <c r="C19" s="216"/>
      <c r="D19" s="216"/>
      <c r="E19" s="216"/>
      <c r="F19" s="154"/>
      <c r="G19" s="154"/>
      <c r="H19" s="10"/>
      <c r="I19" s="10"/>
    </row>
    <row r="20" spans="1:9" ht="15">
      <c r="A20" s="217" t="s">
        <v>31</v>
      </c>
      <c r="B20" s="217"/>
      <c r="C20" s="217"/>
      <c r="D20" s="217"/>
      <c r="E20" s="217"/>
      <c r="F20" s="154"/>
      <c r="G20" s="154"/>
      <c r="H20" s="10"/>
      <c r="I20" s="10"/>
    </row>
    <row r="21" spans="1:9" ht="15">
      <c r="A21" s="154"/>
      <c r="B21" s="10"/>
      <c r="C21" s="154"/>
      <c r="D21" s="154"/>
      <c r="E21" s="154"/>
      <c r="F21" s="154"/>
      <c r="G21" s="154"/>
      <c r="H21" s="10"/>
      <c r="I21" s="10"/>
    </row>
    <row r="22" spans="1:11" ht="15">
      <c r="A22" s="154"/>
      <c r="B22" s="10"/>
      <c r="C22" s="154"/>
      <c r="D22" s="154"/>
      <c r="E22" s="154"/>
      <c r="F22" s="154"/>
      <c r="G22" s="154"/>
      <c r="H22" s="10"/>
      <c r="I22" s="10"/>
      <c r="K22" s="7"/>
    </row>
    <row r="23" spans="1:9" ht="15">
      <c r="A23" s="222" t="s">
        <v>0</v>
      </c>
      <c r="B23" s="222"/>
      <c r="C23" s="222"/>
      <c r="D23" s="222"/>
      <c r="E23" s="222"/>
      <c r="F23" s="152"/>
      <c r="G23" s="152"/>
      <c r="H23" s="10"/>
      <c r="I23" s="10"/>
    </row>
    <row r="24" spans="1:11" ht="15">
      <c r="A24" s="222" t="s">
        <v>32</v>
      </c>
      <c r="B24" s="222"/>
      <c r="C24" s="222"/>
      <c r="D24" s="222"/>
      <c r="E24" s="222"/>
      <c r="F24" s="152"/>
      <c r="G24" s="152"/>
      <c r="H24" s="10"/>
      <c r="I24" s="10"/>
      <c r="K24" s="7"/>
    </row>
    <row r="25" spans="1:9" ht="15">
      <c r="A25" s="188"/>
      <c r="B25" s="153"/>
      <c r="C25" s="188"/>
      <c r="D25" s="188"/>
      <c r="E25" s="188"/>
      <c r="F25" s="154"/>
      <c r="G25" s="154"/>
      <c r="H25" s="10"/>
      <c r="I25" s="10"/>
    </row>
    <row r="26" spans="1:9" ht="15">
      <c r="A26" s="223" t="s">
        <v>33</v>
      </c>
      <c r="B26" s="223"/>
      <c r="C26" s="223"/>
      <c r="D26" s="223"/>
      <c r="E26" s="223"/>
      <c r="F26" s="189"/>
      <c r="G26" s="189"/>
      <c r="H26" s="10"/>
      <c r="I26" s="10"/>
    </row>
    <row r="27" spans="1:9" ht="15">
      <c r="A27" s="108" t="s">
        <v>2</v>
      </c>
      <c r="B27" s="108" t="s">
        <v>3</v>
      </c>
      <c r="C27" s="108" t="s">
        <v>34</v>
      </c>
      <c r="D27" s="108" t="s">
        <v>35</v>
      </c>
      <c r="E27" s="108" t="s">
        <v>6</v>
      </c>
      <c r="F27" s="155" t="s">
        <v>5</v>
      </c>
      <c r="G27" s="155" t="s">
        <v>6</v>
      </c>
      <c r="H27" s="155" t="s">
        <v>36</v>
      </c>
      <c r="I27" s="89" t="s">
        <v>6</v>
      </c>
    </row>
    <row r="28" spans="1:9" ht="15">
      <c r="A28" s="190" t="s">
        <v>37</v>
      </c>
      <c r="B28" s="191" t="s">
        <v>38</v>
      </c>
      <c r="C28" s="192"/>
      <c r="D28" s="91">
        <f>+'proyectos 2022'!D7</f>
        <v>45276</v>
      </c>
      <c r="E28" s="91">
        <f>+C28+D28</f>
        <v>45276</v>
      </c>
      <c r="F28" s="91">
        <f>+'proyectos 2022'!F7</f>
        <v>0</v>
      </c>
      <c r="G28" s="91">
        <f>+E28+F28</f>
        <v>45276</v>
      </c>
      <c r="H28" s="91">
        <f>+'proyectos 2022'!L7</f>
        <v>45205.22</v>
      </c>
      <c r="I28" s="91">
        <f aca="true" t="shared" si="2" ref="I28:I59">+G28-H28</f>
        <v>70.77999999999884</v>
      </c>
    </row>
    <row r="29" spans="1:9" ht="15">
      <c r="A29" s="190" t="s">
        <v>39</v>
      </c>
      <c r="B29" s="191" t="s">
        <v>40</v>
      </c>
      <c r="C29" s="192"/>
      <c r="D29" s="91">
        <f>+'proyectos 2022'!D8</f>
        <v>3773</v>
      </c>
      <c r="E29" s="91">
        <f aca="true" t="shared" si="3" ref="E29:E59">+D29+C29</f>
        <v>3773</v>
      </c>
      <c r="F29" s="91">
        <f>+'proyectos 2022'!F8</f>
        <v>211.07</v>
      </c>
      <c r="G29" s="91">
        <f aca="true" t="shared" si="4" ref="G29:G92">+E29+F29</f>
        <v>3984.07</v>
      </c>
      <c r="H29" s="91">
        <f>+'proyectos 2022'!L8</f>
        <v>3758.66</v>
      </c>
      <c r="I29" s="91">
        <f t="shared" si="2"/>
        <v>225.4100000000003</v>
      </c>
    </row>
    <row r="30" spans="1:9" ht="15">
      <c r="A30" s="190" t="s">
        <v>41</v>
      </c>
      <c r="B30" s="191" t="s">
        <v>42</v>
      </c>
      <c r="C30" s="192"/>
      <c r="D30" s="91">
        <f>+'proyectos 2022'!D9</f>
        <v>2550</v>
      </c>
      <c r="E30" s="91">
        <f t="shared" si="3"/>
        <v>2550</v>
      </c>
      <c r="F30" s="91">
        <f>+'proyectos 2022'!F9</f>
        <v>0</v>
      </c>
      <c r="G30" s="91">
        <f t="shared" si="4"/>
        <v>2550</v>
      </c>
      <c r="H30" s="91">
        <f>+'proyectos 2022'!L9</f>
        <v>2427.16</v>
      </c>
      <c r="I30" s="91">
        <f t="shared" si="2"/>
        <v>122.84000000000015</v>
      </c>
    </row>
    <row r="31" spans="1:9" ht="15">
      <c r="A31" s="190" t="s">
        <v>43</v>
      </c>
      <c r="B31" s="191" t="s">
        <v>44</v>
      </c>
      <c r="C31" s="192"/>
      <c r="D31" s="91">
        <f>+'proyectos 2022'!D10</f>
        <v>5048.273999999999</v>
      </c>
      <c r="E31" s="91">
        <f t="shared" si="3"/>
        <v>5048.273999999999</v>
      </c>
      <c r="F31" s="91">
        <f>+'proyectos 2022'!F10</f>
        <v>47</v>
      </c>
      <c r="G31" s="91">
        <f t="shared" si="4"/>
        <v>5095.273999999999</v>
      </c>
      <c r="H31" s="91">
        <f>+'proyectos 2022'!L10</f>
        <v>5094.92</v>
      </c>
      <c r="I31" s="91">
        <f t="shared" si="2"/>
        <v>0.3539999999993597</v>
      </c>
    </row>
    <row r="32" spans="1:9" ht="15">
      <c r="A32" s="190" t="s">
        <v>45</v>
      </c>
      <c r="B32" s="191" t="s">
        <v>46</v>
      </c>
      <c r="C32" s="192"/>
      <c r="D32" s="91">
        <f>+'proyectos 2022'!D11</f>
        <v>3773</v>
      </c>
      <c r="E32" s="91">
        <f t="shared" si="3"/>
        <v>3773</v>
      </c>
      <c r="F32" s="91">
        <f>+'proyectos 2022'!F11</f>
        <v>0</v>
      </c>
      <c r="G32" s="91">
        <f t="shared" si="4"/>
        <v>3773</v>
      </c>
      <c r="H32" s="91">
        <f>+'proyectos 2022'!L11</f>
        <v>3260</v>
      </c>
      <c r="I32" s="91">
        <f t="shared" si="2"/>
        <v>513</v>
      </c>
    </row>
    <row r="33" spans="1:13" ht="15">
      <c r="A33" s="190" t="s">
        <v>47</v>
      </c>
      <c r="B33" s="191" t="s">
        <v>48</v>
      </c>
      <c r="C33" s="192"/>
      <c r="D33" s="91">
        <f>+'proyectos 2022'!D12</f>
        <v>0.01</v>
      </c>
      <c r="E33" s="91">
        <f t="shared" si="3"/>
        <v>0.01</v>
      </c>
      <c r="F33" s="91">
        <f>+'proyectos 2022'!F12</f>
        <v>2680</v>
      </c>
      <c r="G33" s="91">
        <f t="shared" si="4"/>
        <v>2680.01</v>
      </c>
      <c r="H33" s="91">
        <f>+'proyectos 2022'!L12</f>
        <v>2680</v>
      </c>
      <c r="I33" s="91">
        <f t="shared" si="2"/>
        <v>0.010000000000218279</v>
      </c>
      <c r="M33" s="7"/>
    </row>
    <row r="34" spans="1:9" ht="15">
      <c r="A34" s="190" t="s">
        <v>49</v>
      </c>
      <c r="B34" s="191" t="s">
        <v>50</v>
      </c>
      <c r="C34" s="192"/>
      <c r="D34" s="91">
        <f>+'proyectos 2022'!D13</f>
        <v>100</v>
      </c>
      <c r="E34" s="91">
        <f t="shared" si="3"/>
        <v>100</v>
      </c>
      <c r="F34" s="91">
        <f>+'proyectos 2022'!F13</f>
        <v>0</v>
      </c>
      <c r="G34" s="91">
        <f t="shared" si="4"/>
        <v>100</v>
      </c>
      <c r="H34" s="91">
        <f>+'proyectos 2022'!L13</f>
        <v>73.2</v>
      </c>
      <c r="I34" s="91">
        <f t="shared" si="2"/>
        <v>26.799999999999997</v>
      </c>
    </row>
    <row r="35" spans="1:9" ht="15">
      <c r="A35" s="196" t="s">
        <v>51</v>
      </c>
      <c r="B35" s="191" t="str">
        <f>+'proyectos 2022'!B14</f>
        <v>Agua Riego</v>
      </c>
      <c r="C35" s="192"/>
      <c r="D35" s="91">
        <f>+'proyectos 2022'!D14</f>
        <v>100</v>
      </c>
      <c r="E35" s="91">
        <f t="shared" si="3"/>
        <v>100</v>
      </c>
      <c r="F35" s="91">
        <f>+'proyectos 2022'!F14</f>
        <v>0</v>
      </c>
      <c r="G35" s="91">
        <f t="shared" si="4"/>
        <v>100</v>
      </c>
      <c r="H35" s="91">
        <f>+'proyectos 2022'!L14</f>
        <v>60</v>
      </c>
      <c r="I35" s="91">
        <f t="shared" si="2"/>
        <v>40</v>
      </c>
    </row>
    <row r="36" spans="1:9" ht="15">
      <c r="A36" s="190" t="s">
        <v>52</v>
      </c>
      <c r="B36" s="191" t="s">
        <v>53</v>
      </c>
      <c r="C36" s="192"/>
      <c r="D36" s="91">
        <f>+'proyectos 2022'!D15</f>
        <v>620</v>
      </c>
      <c r="E36" s="91">
        <f t="shared" si="3"/>
        <v>620</v>
      </c>
      <c r="F36" s="91">
        <f>+'proyectos 2022'!F15</f>
        <v>1336</v>
      </c>
      <c r="G36" s="91">
        <f t="shared" si="4"/>
        <v>1956</v>
      </c>
      <c r="H36" s="91">
        <f>+'proyectos 2022'!L15</f>
        <v>768.1</v>
      </c>
      <c r="I36" s="91">
        <f t="shared" si="2"/>
        <v>1187.9</v>
      </c>
    </row>
    <row r="37" spans="1:9" ht="15">
      <c r="A37" s="190" t="s">
        <v>54</v>
      </c>
      <c r="B37" s="191" t="s">
        <v>55</v>
      </c>
      <c r="C37" s="91">
        <v>0</v>
      </c>
      <c r="D37" s="91">
        <f>+'proyectos 2022'!D16</f>
        <v>360</v>
      </c>
      <c r="E37" s="91">
        <f t="shared" si="3"/>
        <v>360</v>
      </c>
      <c r="F37" s="91">
        <f>+'proyectos 2022'!F16</f>
        <v>0</v>
      </c>
      <c r="G37" s="91">
        <f t="shared" si="4"/>
        <v>360</v>
      </c>
      <c r="H37" s="91">
        <f>+'proyectos 2022'!L16</f>
        <v>156.44</v>
      </c>
      <c r="I37" s="91">
        <f t="shared" si="2"/>
        <v>203.56</v>
      </c>
    </row>
    <row r="38" spans="1:10" ht="15">
      <c r="A38" s="190" t="s">
        <v>56</v>
      </c>
      <c r="B38" s="191" t="s">
        <v>57</v>
      </c>
      <c r="C38" s="91">
        <v>0</v>
      </c>
      <c r="D38" s="91">
        <f>+'proyectos 2022'!D17</f>
        <v>1400</v>
      </c>
      <c r="E38" s="91">
        <f t="shared" si="3"/>
        <v>1400</v>
      </c>
      <c r="F38" s="91">
        <f>+'proyectos 2022'!F17</f>
        <v>-500</v>
      </c>
      <c r="G38" s="91">
        <f t="shared" si="4"/>
        <v>900</v>
      </c>
      <c r="H38" s="91">
        <f>+'proyectos 2022'!L17</f>
        <v>890</v>
      </c>
      <c r="I38" s="91">
        <f t="shared" si="2"/>
        <v>10</v>
      </c>
      <c r="J38" s="7"/>
    </row>
    <row r="39" spans="1:9" ht="15">
      <c r="A39" s="196" t="s">
        <v>58</v>
      </c>
      <c r="B39" s="191" t="s">
        <v>59</v>
      </c>
      <c r="C39" s="91">
        <v>0</v>
      </c>
      <c r="D39" s="91">
        <f>+'proyectos 2022'!D18</f>
        <v>3000</v>
      </c>
      <c r="E39" s="91">
        <f t="shared" si="3"/>
        <v>3000</v>
      </c>
      <c r="F39" s="91">
        <f>+'proyectos 2022'!F18</f>
        <v>0</v>
      </c>
      <c r="G39" s="91">
        <f t="shared" si="4"/>
        <v>3000</v>
      </c>
      <c r="H39" s="91">
        <f>+'proyectos 2022'!L18</f>
        <v>3000</v>
      </c>
      <c r="I39" s="91">
        <f t="shared" si="2"/>
        <v>0</v>
      </c>
    </row>
    <row r="40" spans="1:10" ht="15">
      <c r="A40" s="190" t="s">
        <v>60</v>
      </c>
      <c r="B40" s="191" t="s">
        <v>61</v>
      </c>
      <c r="C40" s="192"/>
      <c r="D40" s="91">
        <f>+'proyectos 2022'!D19</f>
        <v>300</v>
      </c>
      <c r="E40" s="91">
        <f t="shared" si="3"/>
        <v>300</v>
      </c>
      <c r="F40" s="91">
        <f>+'proyectos 2022'!F19</f>
        <v>-281</v>
      </c>
      <c r="G40" s="91">
        <f t="shared" si="4"/>
        <v>19</v>
      </c>
      <c r="H40" s="91">
        <f>+'proyectos 2022'!L19</f>
        <v>0</v>
      </c>
      <c r="I40" s="91">
        <f t="shared" si="2"/>
        <v>19</v>
      </c>
      <c r="J40" s="7"/>
    </row>
    <row r="41" spans="1:9" ht="15">
      <c r="A41" s="190" t="s">
        <v>62</v>
      </c>
      <c r="B41" s="191" t="s">
        <v>63</v>
      </c>
      <c r="C41" s="192"/>
      <c r="D41" s="91">
        <f>+'proyectos 2022'!D20</f>
        <v>120</v>
      </c>
      <c r="E41" s="91">
        <f t="shared" si="3"/>
        <v>120</v>
      </c>
      <c r="F41" s="91">
        <f>+'proyectos 2022'!F20</f>
        <v>0</v>
      </c>
      <c r="G41" s="91">
        <f t="shared" si="4"/>
        <v>120</v>
      </c>
      <c r="H41" s="91">
        <f>+'proyectos 2022'!L20</f>
        <v>0</v>
      </c>
      <c r="I41" s="91">
        <f t="shared" si="2"/>
        <v>120</v>
      </c>
    </row>
    <row r="42" spans="1:9" ht="15">
      <c r="A42" s="196" t="s">
        <v>64</v>
      </c>
      <c r="B42" s="191" t="s">
        <v>65</v>
      </c>
      <c r="C42" s="193">
        <v>0</v>
      </c>
      <c r="D42" s="91">
        <f>+'proyectos 2022'!D21</f>
        <v>1600</v>
      </c>
      <c r="E42" s="91">
        <f t="shared" si="3"/>
        <v>1600</v>
      </c>
      <c r="F42" s="91">
        <f>+'proyectos 2022'!F21</f>
        <v>-1599</v>
      </c>
      <c r="G42" s="91">
        <f t="shared" si="4"/>
        <v>1</v>
      </c>
      <c r="H42" s="91">
        <f>+'proyectos 2022'!L21</f>
        <v>0</v>
      </c>
      <c r="I42" s="91">
        <f t="shared" si="2"/>
        <v>1</v>
      </c>
    </row>
    <row r="43" spans="1:9" ht="15">
      <c r="A43" s="196" t="s">
        <v>66</v>
      </c>
      <c r="B43" s="191" t="str">
        <f>+'proyectos 2022'!B22</f>
        <v>Arrendamiento y Licencias d e Uso de Paquetes informaticos</v>
      </c>
      <c r="C43" s="193">
        <v>0</v>
      </c>
      <c r="D43" s="91">
        <f>+'proyectos 2022'!D22</f>
        <v>530</v>
      </c>
      <c r="E43" s="91">
        <f t="shared" si="3"/>
        <v>530</v>
      </c>
      <c r="F43" s="91">
        <f>+'proyectos 2022'!F22</f>
        <v>0</v>
      </c>
      <c r="G43" s="91">
        <f t="shared" si="4"/>
        <v>530</v>
      </c>
      <c r="H43" s="91">
        <f>+'proyectos 2022'!L22</f>
        <v>500</v>
      </c>
      <c r="I43" s="91">
        <f t="shared" si="2"/>
        <v>30</v>
      </c>
    </row>
    <row r="44" spans="1:12" ht="15">
      <c r="A44" s="190" t="s">
        <v>67</v>
      </c>
      <c r="B44" s="191" t="s">
        <v>68</v>
      </c>
      <c r="C44" s="193">
        <v>0</v>
      </c>
      <c r="D44" s="91">
        <f>+'proyectos 2022'!D23</f>
        <v>500</v>
      </c>
      <c r="E44" s="91">
        <f t="shared" si="3"/>
        <v>500</v>
      </c>
      <c r="F44" s="91">
        <f>+'proyectos 2022'!F23</f>
        <v>-300</v>
      </c>
      <c r="G44" s="91">
        <f t="shared" si="4"/>
        <v>200</v>
      </c>
      <c r="H44" s="91">
        <f>+'proyectos 2022'!L23</f>
        <v>154.57</v>
      </c>
      <c r="I44" s="91">
        <f t="shared" si="2"/>
        <v>45.43000000000001</v>
      </c>
      <c r="L44" s="7"/>
    </row>
    <row r="45" spans="1:12" ht="15">
      <c r="A45" s="190" t="s">
        <v>69</v>
      </c>
      <c r="B45" s="191" t="s">
        <v>70</v>
      </c>
      <c r="C45" s="193">
        <v>0</v>
      </c>
      <c r="D45" s="91">
        <f>+'proyectos 2022'!D24</f>
        <v>400</v>
      </c>
      <c r="E45" s="91">
        <f t="shared" si="3"/>
        <v>400</v>
      </c>
      <c r="F45" s="91">
        <f>+'proyectos 2022'!F24</f>
        <v>0</v>
      </c>
      <c r="G45" s="91">
        <f t="shared" si="4"/>
        <v>400</v>
      </c>
      <c r="H45" s="91">
        <f>+'proyectos 2022'!L24</f>
        <v>75.99</v>
      </c>
      <c r="I45" s="91">
        <f t="shared" si="2"/>
        <v>324.01</v>
      </c>
      <c r="L45" s="7"/>
    </row>
    <row r="46" spans="1:9" ht="15">
      <c r="A46" s="190" t="s">
        <v>71</v>
      </c>
      <c r="B46" s="191" t="s">
        <v>72</v>
      </c>
      <c r="C46" s="193">
        <v>0</v>
      </c>
      <c r="D46" s="91">
        <f>+'proyectos 2022'!D25</f>
        <v>109.7</v>
      </c>
      <c r="E46" s="91">
        <f t="shared" si="3"/>
        <v>109.7</v>
      </c>
      <c r="F46" s="91">
        <f>+'proyectos 2022'!F25</f>
        <v>0</v>
      </c>
      <c r="G46" s="91">
        <f t="shared" si="4"/>
        <v>109.7</v>
      </c>
      <c r="H46" s="91">
        <f>+'proyectos 2022'!L25</f>
        <v>0</v>
      </c>
      <c r="I46" s="91">
        <f t="shared" si="2"/>
        <v>109.7</v>
      </c>
    </row>
    <row r="47" spans="1:9" ht="15">
      <c r="A47" s="190" t="s">
        <v>73</v>
      </c>
      <c r="B47" s="191" t="s">
        <v>74</v>
      </c>
      <c r="C47" s="192"/>
      <c r="D47" s="91">
        <f>+'proyectos 2022'!D26</f>
        <v>0.01</v>
      </c>
      <c r="E47" s="91">
        <f t="shared" si="3"/>
        <v>0.01</v>
      </c>
      <c r="F47" s="91">
        <f>+'proyectos 2022'!F26</f>
        <v>2205</v>
      </c>
      <c r="G47" s="91">
        <f t="shared" si="4"/>
        <v>2205.01</v>
      </c>
      <c r="H47" s="91">
        <f>+'proyectos 2022'!L26</f>
        <v>913.51</v>
      </c>
      <c r="I47" s="91">
        <f t="shared" si="2"/>
        <v>1291.5000000000002</v>
      </c>
    </row>
    <row r="48" spans="1:10" ht="15">
      <c r="A48" s="190" t="s">
        <v>75</v>
      </c>
      <c r="B48" s="191" t="s">
        <v>76</v>
      </c>
      <c r="C48" s="192"/>
      <c r="D48" s="91">
        <f>+'proyectos 2022'!D27</f>
        <v>0.01</v>
      </c>
      <c r="E48" s="91">
        <f t="shared" si="3"/>
        <v>0.01</v>
      </c>
      <c r="F48" s="91">
        <f>+'proyectos 2022'!F27</f>
        <v>0</v>
      </c>
      <c r="G48" s="91">
        <f t="shared" si="4"/>
        <v>0.01</v>
      </c>
      <c r="H48" s="91">
        <f>+'proyectos 2022'!L27</f>
        <v>0</v>
      </c>
      <c r="I48" s="91">
        <f t="shared" si="2"/>
        <v>0.01</v>
      </c>
      <c r="J48" s="7">
        <f>SUM(E24:E52)</f>
        <v>77250.00399999999</v>
      </c>
    </row>
    <row r="49" spans="1:9" ht="15">
      <c r="A49" s="190" t="s">
        <v>77</v>
      </c>
      <c r="B49" s="191" t="s">
        <v>78</v>
      </c>
      <c r="C49" s="192">
        <v>0</v>
      </c>
      <c r="D49" s="91">
        <f>+'proyectos 2022'!D28</f>
        <v>1600</v>
      </c>
      <c r="E49" s="91">
        <f t="shared" si="3"/>
        <v>1600</v>
      </c>
      <c r="F49" s="91">
        <f>+'proyectos 2022'!F28</f>
        <v>0</v>
      </c>
      <c r="G49" s="91">
        <f t="shared" si="4"/>
        <v>1600</v>
      </c>
      <c r="H49" s="91">
        <f>+'proyectos 2022'!L28</f>
        <v>0</v>
      </c>
      <c r="I49" s="91">
        <f t="shared" si="2"/>
        <v>1600</v>
      </c>
    </row>
    <row r="50" spans="1:9" ht="15">
      <c r="A50" s="190" t="s">
        <v>79</v>
      </c>
      <c r="B50" s="191" t="s">
        <v>80</v>
      </c>
      <c r="C50" s="192"/>
      <c r="D50" s="91">
        <f>+'proyectos 2022'!D29</f>
        <v>70</v>
      </c>
      <c r="E50" s="91">
        <f t="shared" si="3"/>
        <v>70</v>
      </c>
      <c r="F50" s="91">
        <f>+'proyectos 2022'!F29</f>
        <v>254.93</v>
      </c>
      <c r="G50" s="91">
        <f t="shared" si="4"/>
        <v>324.93</v>
      </c>
      <c r="H50" s="91">
        <f>+'proyectos 2022'!L29</f>
        <v>75.43</v>
      </c>
      <c r="I50" s="91">
        <f t="shared" si="2"/>
        <v>249.5</v>
      </c>
    </row>
    <row r="51" spans="1:9" ht="15">
      <c r="A51" s="196" t="s">
        <v>81</v>
      </c>
      <c r="B51" s="191" t="s">
        <v>82</v>
      </c>
      <c r="C51" s="192"/>
      <c r="D51" s="91">
        <f>+'proyectos 2022'!D30</f>
        <v>5700</v>
      </c>
      <c r="E51" s="91">
        <f t="shared" si="3"/>
        <v>5700</v>
      </c>
      <c r="F51" s="91">
        <f>+'proyectos 2022'!F30</f>
        <v>693</v>
      </c>
      <c r="G51" s="91">
        <f t="shared" si="4"/>
        <v>6393</v>
      </c>
      <c r="H51" s="91">
        <f>+'proyectos 2022'!L30</f>
        <v>6392.84</v>
      </c>
      <c r="I51" s="91">
        <f t="shared" si="2"/>
        <v>0.15999999999985448</v>
      </c>
    </row>
    <row r="52" spans="1:10" ht="15">
      <c r="A52" s="190" t="s">
        <v>83</v>
      </c>
      <c r="B52" s="191" t="s">
        <v>84</v>
      </c>
      <c r="C52" s="192"/>
      <c r="D52" s="91">
        <f>+'proyectos 2022'!D31</f>
        <v>320</v>
      </c>
      <c r="E52" s="91">
        <f t="shared" si="3"/>
        <v>320</v>
      </c>
      <c r="F52" s="91">
        <f>+'proyectos 2022'!F31</f>
        <v>7</v>
      </c>
      <c r="G52" s="91">
        <f t="shared" si="4"/>
        <v>327</v>
      </c>
      <c r="H52" s="91">
        <f>+'proyectos 2022'!L31</f>
        <v>326.9</v>
      </c>
      <c r="I52" s="91">
        <f t="shared" si="2"/>
        <v>0.10000000000002274</v>
      </c>
      <c r="J52" s="134"/>
    </row>
    <row r="53" spans="1:9" ht="15">
      <c r="A53" s="190" t="s">
        <v>85</v>
      </c>
      <c r="B53" s="191" t="s">
        <v>86</v>
      </c>
      <c r="C53" s="192"/>
      <c r="D53" s="91">
        <f>+'proyectos 2022'!D196</f>
        <v>12356</v>
      </c>
      <c r="E53" s="91">
        <f t="shared" si="3"/>
        <v>12356</v>
      </c>
      <c r="F53" s="91">
        <f>+'proyectos 2022'!F196</f>
        <v>-1540.19</v>
      </c>
      <c r="G53" s="91">
        <f t="shared" si="4"/>
        <v>10815.81</v>
      </c>
      <c r="H53" s="91">
        <f>+'proyectos 2022'!L196</f>
        <v>9814.13</v>
      </c>
      <c r="I53" s="91">
        <f t="shared" si="2"/>
        <v>1001.6800000000003</v>
      </c>
    </row>
    <row r="54" spans="1:9" ht="15">
      <c r="A54" s="190" t="s">
        <v>87</v>
      </c>
      <c r="B54" s="191" t="s">
        <v>88</v>
      </c>
      <c r="C54" s="192"/>
      <c r="D54" s="91">
        <f>+'proyectos 2022'!D197</f>
        <v>1476</v>
      </c>
      <c r="E54" s="91">
        <f t="shared" si="3"/>
        <v>1476</v>
      </c>
      <c r="F54" s="91">
        <f>+'proyectos 2022'!F197</f>
        <v>-248.05</v>
      </c>
      <c r="G54" s="91">
        <f t="shared" si="4"/>
        <v>1227.95</v>
      </c>
      <c r="H54" s="91">
        <f>+'proyectos 2022'!L197</f>
        <v>763.41</v>
      </c>
      <c r="I54" s="91">
        <f t="shared" si="2"/>
        <v>464.5400000000001</v>
      </c>
    </row>
    <row r="55" spans="1:9" ht="15">
      <c r="A55" s="190" t="s">
        <v>89</v>
      </c>
      <c r="B55" s="191" t="s">
        <v>90</v>
      </c>
      <c r="C55" s="192"/>
      <c r="D55" s="91">
        <f>+'proyectos 2022'!D198</f>
        <v>850</v>
      </c>
      <c r="E55" s="91">
        <f t="shared" si="3"/>
        <v>850</v>
      </c>
      <c r="F55" s="91">
        <f>+'proyectos 2022'!F198</f>
        <v>-318.75</v>
      </c>
      <c r="G55" s="91">
        <f t="shared" si="4"/>
        <v>531.25</v>
      </c>
      <c r="H55" s="91">
        <f>+'proyectos 2022'!L198</f>
        <v>414.58</v>
      </c>
      <c r="I55" s="91">
        <f t="shared" si="2"/>
        <v>116.67000000000002</v>
      </c>
    </row>
    <row r="56" spans="1:9" ht="15">
      <c r="A56" s="190" t="s">
        <v>91</v>
      </c>
      <c r="B56" s="191" t="s">
        <v>44</v>
      </c>
      <c r="C56" s="192"/>
      <c r="D56" s="91">
        <f>+'proyectos 2022'!D199</f>
        <v>1377.694</v>
      </c>
      <c r="E56" s="91">
        <f t="shared" si="3"/>
        <v>1377.694</v>
      </c>
      <c r="F56" s="91">
        <f>+'proyectos 2022'!F199</f>
        <v>-165.85</v>
      </c>
      <c r="G56" s="91">
        <f t="shared" si="4"/>
        <v>1211.844</v>
      </c>
      <c r="H56" s="91">
        <f>+'proyectos 2022'!L199</f>
        <v>1094.3</v>
      </c>
      <c r="I56" s="91">
        <f t="shared" si="2"/>
        <v>117.5440000000001</v>
      </c>
    </row>
    <row r="57" spans="1:9" ht="15">
      <c r="A57" s="190" t="s">
        <v>92</v>
      </c>
      <c r="B57" s="191" t="s">
        <v>93</v>
      </c>
      <c r="C57" s="192"/>
      <c r="D57" s="91">
        <f>+'proyectos 2022'!D200</f>
        <v>738</v>
      </c>
      <c r="E57" s="91">
        <f t="shared" si="3"/>
        <v>738</v>
      </c>
      <c r="F57" s="91">
        <f>+'proyectos 2022'!F200</f>
        <v>0</v>
      </c>
      <c r="G57" s="91">
        <f t="shared" si="4"/>
        <v>738</v>
      </c>
      <c r="H57" s="91">
        <f>+'proyectos 2022'!L200</f>
        <v>553.5</v>
      </c>
      <c r="I57" s="91">
        <f t="shared" si="2"/>
        <v>184.5</v>
      </c>
    </row>
    <row r="58" spans="1:9" ht="15">
      <c r="A58" s="190" t="s">
        <v>94</v>
      </c>
      <c r="B58" s="191" t="s">
        <v>50</v>
      </c>
      <c r="C58" s="192"/>
      <c r="D58" s="91">
        <f>+'proyectos 2022'!D85</f>
        <v>0.01</v>
      </c>
      <c r="E58" s="91">
        <f t="shared" si="3"/>
        <v>0.01</v>
      </c>
      <c r="F58" s="91">
        <f>+'proyectos 2022'!F85</f>
        <v>0</v>
      </c>
      <c r="G58" s="91">
        <f t="shared" si="4"/>
        <v>0.01</v>
      </c>
      <c r="H58" s="91">
        <f>+'proyectos 2022'!L85</f>
        <v>0</v>
      </c>
      <c r="I58" s="91">
        <f t="shared" si="2"/>
        <v>0.01</v>
      </c>
    </row>
    <row r="59" spans="1:9" ht="15">
      <c r="A59" s="190" t="s">
        <v>95</v>
      </c>
      <c r="B59" s="191" t="s">
        <v>53</v>
      </c>
      <c r="C59" s="192"/>
      <c r="D59" s="91">
        <f>+'proyectos 2022'!D86</f>
        <v>35.89</v>
      </c>
      <c r="E59" s="91">
        <f t="shared" si="3"/>
        <v>35.89</v>
      </c>
      <c r="F59" s="91">
        <f>+'proyectos 2022'!F86</f>
        <v>0</v>
      </c>
      <c r="G59" s="91">
        <f t="shared" si="4"/>
        <v>35.89</v>
      </c>
      <c r="H59" s="91">
        <f>+'proyectos 2022'!L86</f>
        <v>0</v>
      </c>
      <c r="I59" s="91">
        <f t="shared" si="2"/>
        <v>35.89</v>
      </c>
    </row>
    <row r="60" spans="1:9" ht="15">
      <c r="A60" s="190" t="s">
        <v>96</v>
      </c>
      <c r="B60" s="191" t="s">
        <v>97</v>
      </c>
      <c r="C60" s="192">
        <v>0</v>
      </c>
      <c r="D60" s="91">
        <f>+'proyectos 2022'!D71</f>
        <v>500</v>
      </c>
      <c r="E60" s="91">
        <f aca="true" t="shared" si="5" ref="E60:E107">+D60+C60</f>
        <v>500</v>
      </c>
      <c r="F60" s="91">
        <f>+'proyectos 2022'!F71</f>
        <v>0</v>
      </c>
      <c r="G60" s="91">
        <f t="shared" si="4"/>
        <v>500</v>
      </c>
      <c r="H60" s="91">
        <f>+'proyectos 2022'!L71</f>
        <v>321.46999999999997</v>
      </c>
      <c r="I60" s="91">
        <f aca="true" t="shared" si="6" ref="I60:I96">+G60-H60</f>
        <v>178.53000000000003</v>
      </c>
    </row>
    <row r="61" spans="1:9" ht="15">
      <c r="A61" s="190" t="s">
        <v>98</v>
      </c>
      <c r="B61" s="191" t="s">
        <v>99</v>
      </c>
      <c r="C61" s="192">
        <v>0</v>
      </c>
      <c r="D61" s="91">
        <f>+'proyectos 2022'!D87+'proyectos 2022'!D226+'proyectos 2022'!D153+'proyectos 2022'!D43</f>
        <v>0.04</v>
      </c>
      <c r="E61" s="91">
        <f t="shared" si="5"/>
        <v>0.04</v>
      </c>
      <c r="F61" s="91">
        <f>+'proyectos 2022'!F87+'proyectos 2022'!F226+'proyectos 2022'!F153+'proyectos 2022'!F43</f>
        <v>1045</v>
      </c>
      <c r="G61" s="91">
        <f t="shared" si="4"/>
        <v>1045.04</v>
      </c>
      <c r="H61" s="91">
        <f>+'proyectos 2022'!L87+'proyectos 2022'!L226+'proyectos 2022'!L153+'proyectos 2022'!L43</f>
        <v>1945</v>
      </c>
      <c r="I61" s="91">
        <f t="shared" si="6"/>
        <v>-899.96</v>
      </c>
    </row>
    <row r="62" spans="1:9" ht="15">
      <c r="A62" s="190" t="s">
        <v>100</v>
      </c>
      <c r="B62" s="191" t="s">
        <v>59</v>
      </c>
      <c r="C62" s="192">
        <v>0</v>
      </c>
      <c r="D62" s="91">
        <f>+'proyectos 2022'!D154+'proyectos 2022'!D44</f>
        <v>20000</v>
      </c>
      <c r="E62" s="91">
        <f t="shared" si="5"/>
        <v>20000</v>
      </c>
      <c r="F62" s="91">
        <f>+'proyectos 2022'!F154+'proyectos 2022'!F44</f>
        <v>9782.8</v>
      </c>
      <c r="G62" s="91">
        <f t="shared" si="4"/>
        <v>29782.8</v>
      </c>
      <c r="H62" s="91">
        <f>+'proyectos 2022'!L154+'proyectos 2022'!L44</f>
        <v>25120.8</v>
      </c>
      <c r="I62" s="91">
        <f t="shared" si="6"/>
        <v>4662</v>
      </c>
    </row>
    <row r="63" spans="1:9" ht="15">
      <c r="A63" s="196" t="s">
        <v>101</v>
      </c>
      <c r="B63" s="191" t="str">
        <f>+'proyectos 2022'!B155</f>
        <v>Difusión, Información y Publicidad</v>
      </c>
      <c r="C63" s="192">
        <v>0</v>
      </c>
      <c r="D63" s="91">
        <f>+'proyectos 2022'!D155</f>
        <v>0.01</v>
      </c>
      <c r="E63" s="91">
        <f t="shared" si="5"/>
        <v>0.01</v>
      </c>
      <c r="F63" s="91">
        <f>+'proyectos 2022'!F155</f>
        <v>0</v>
      </c>
      <c r="G63" s="91">
        <f t="shared" si="4"/>
        <v>0.01</v>
      </c>
      <c r="H63" s="91">
        <f>+'proyectos 2022'!L155</f>
        <v>0</v>
      </c>
      <c r="I63" s="91">
        <f t="shared" si="6"/>
        <v>0.01</v>
      </c>
    </row>
    <row r="64" spans="1:9" ht="15">
      <c r="A64" s="196" t="s">
        <v>102</v>
      </c>
      <c r="B64" s="191" t="s">
        <v>103</v>
      </c>
      <c r="C64" s="192"/>
      <c r="D64" s="91">
        <f>+'proyectos 2022'!D227</f>
        <v>0.01</v>
      </c>
      <c r="E64" s="91">
        <f t="shared" si="5"/>
        <v>0.01</v>
      </c>
      <c r="F64" s="91">
        <f>+'proyectos 2022'!F227</f>
        <v>0</v>
      </c>
      <c r="G64" s="91">
        <f t="shared" si="4"/>
        <v>0.01</v>
      </c>
      <c r="H64" s="91">
        <f>+'proyectos 2022'!L227</f>
        <v>0</v>
      </c>
      <c r="I64" s="91">
        <f t="shared" si="6"/>
        <v>0.01</v>
      </c>
    </row>
    <row r="65" spans="1:9" ht="15">
      <c r="A65" s="196" t="s">
        <v>104</v>
      </c>
      <c r="B65" s="191" t="str">
        <f>+'proyectos 2022'!B45</f>
        <v>Pasajes exterior</v>
      </c>
      <c r="C65" s="192"/>
      <c r="D65" s="91">
        <f>+'proyectos 2022'!D45</f>
        <v>0</v>
      </c>
      <c r="E65" s="91">
        <f t="shared" si="5"/>
        <v>0</v>
      </c>
      <c r="F65" s="91">
        <f>+'proyectos 2022'!F45</f>
        <v>1200</v>
      </c>
      <c r="G65" s="91">
        <f t="shared" si="4"/>
        <v>1200</v>
      </c>
      <c r="H65" s="91">
        <f>+'proyectos 2022'!L45</f>
        <v>1149.17</v>
      </c>
      <c r="I65" s="91">
        <f t="shared" si="6"/>
        <v>50.82999999999993</v>
      </c>
    </row>
    <row r="66" spans="1:11" ht="15">
      <c r="A66" s="196" t="s">
        <v>105</v>
      </c>
      <c r="B66" s="191" t="s">
        <v>106</v>
      </c>
      <c r="C66" s="192">
        <v>0</v>
      </c>
      <c r="D66" s="91">
        <f>+'proyectos 2022'!D88+'proyectos 2022'!D110+'proyectos 2022'!D156</f>
        <v>6061.76</v>
      </c>
      <c r="E66" s="91">
        <f t="shared" si="5"/>
        <v>6061.76</v>
      </c>
      <c r="F66" s="91">
        <f>+'proyectos 2022'!F88+'proyectos 2022'!F110+'proyectos 2022'!F156</f>
        <v>9094.6</v>
      </c>
      <c r="G66" s="91">
        <f t="shared" si="4"/>
        <v>15156.36</v>
      </c>
      <c r="H66" s="91">
        <f>+'proyectos 2022'!L88+'proyectos 2022'!L110+'proyectos 2022'!L156</f>
        <v>14252.73</v>
      </c>
      <c r="I66" s="91">
        <f t="shared" si="6"/>
        <v>903.630000000001</v>
      </c>
      <c r="K66" s="7"/>
    </row>
    <row r="67" spans="1:9" ht="15">
      <c r="A67" s="190" t="s">
        <v>107</v>
      </c>
      <c r="B67" s="191" t="s">
        <v>108</v>
      </c>
      <c r="C67" s="192">
        <v>0</v>
      </c>
      <c r="D67" s="91">
        <f>+'proyectos 2022'!D89+'proyectos 2022'!D201</f>
        <v>3700</v>
      </c>
      <c r="E67" s="91">
        <f t="shared" si="5"/>
        <v>3700</v>
      </c>
      <c r="F67" s="91">
        <f>+'proyectos 2022'!F89+'proyectos 2022'!F201</f>
        <v>4083.87</v>
      </c>
      <c r="G67" s="91">
        <f t="shared" si="4"/>
        <v>7783.87</v>
      </c>
      <c r="H67" s="91">
        <f>+'proyectos 2022'!L89+'proyectos 2022'!L201</f>
        <v>5966.01</v>
      </c>
      <c r="I67" s="91">
        <f t="shared" si="6"/>
        <v>1817.8599999999997</v>
      </c>
    </row>
    <row r="68" spans="1:9" ht="15">
      <c r="A68" s="196" t="s">
        <v>109</v>
      </c>
      <c r="B68" s="191" t="s">
        <v>110</v>
      </c>
      <c r="C68" s="192"/>
      <c r="D68" s="91">
        <f>+'proyectos 2022'!D202</f>
        <v>0.01</v>
      </c>
      <c r="E68" s="91">
        <f t="shared" si="5"/>
        <v>0.01</v>
      </c>
      <c r="F68" s="91">
        <f>+'proyectos 2022'!F202</f>
        <v>0</v>
      </c>
      <c r="G68" s="91">
        <f t="shared" si="4"/>
        <v>0.01</v>
      </c>
      <c r="H68" s="91">
        <f>+'proyectos 2022'!L202</f>
        <v>0</v>
      </c>
      <c r="I68" s="91">
        <f t="shared" si="6"/>
        <v>0.01</v>
      </c>
    </row>
    <row r="69" spans="1:9" ht="15">
      <c r="A69" s="196" t="s">
        <v>111</v>
      </c>
      <c r="B69" s="191" t="s">
        <v>112</v>
      </c>
      <c r="C69" s="192"/>
      <c r="D69" s="91">
        <f>+'proyectos 2022'!D90</f>
        <v>0.01</v>
      </c>
      <c r="E69" s="91">
        <f t="shared" si="5"/>
        <v>0.01</v>
      </c>
      <c r="F69" s="91">
        <f>+'proyectos 2022'!F90</f>
        <v>0</v>
      </c>
      <c r="G69" s="91">
        <f t="shared" si="4"/>
        <v>0.01</v>
      </c>
      <c r="H69" s="91">
        <f>+'proyectos 2022'!L90</f>
        <v>0</v>
      </c>
      <c r="I69" s="91">
        <f t="shared" si="6"/>
        <v>0.01</v>
      </c>
    </row>
    <row r="70" spans="1:9" ht="15">
      <c r="A70" s="190" t="s">
        <v>113</v>
      </c>
      <c r="B70" s="191" t="s">
        <v>114</v>
      </c>
      <c r="C70" s="192">
        <v>0</v>
      </c>
      <c r="D70" s="91">
        <f>+'proyectos 2022'!D111</f>
        <v>0.01</v>
      </c>
      <c r="E70" s="91">
        <f t="shared" si="5"/>
        <v>0.01</v>
      </c>
      <c r="F70" s="91">
        <f>+'proyectos 2022'!F111</f>
        <v>0</v>
      </c>
      <c r="G70" s="91">
        <f t="shared" si="4"/>
        <v>0.01</v>
      </c>
      <c r="H70" s="91">
        <f>+'proyectos 2022'!L111</f>
        <v>0</v>
      </c>
      <c r="I70" s="91">
        <f t="shared" si="6"/>
        <v>0.01</v>
      </c>
    </row>
    <row r="71" spans="1:9" ht="15">
      <c r="A71" s="190" t="s">
        <v>115</v>
      </c>
      <c r="B71" s="191" t="s">
        <v>116</v>
      </c>
      <c r="C71" s="192">
        <v>0</v>
      </c>
      <c r="D71" s="91">
        <f>+'proyectos 2022'!D138+'proyectos 2022'!D203</f>
        <v>700</v>
      </c>
      <c r="E71" s="91">
        <f t="shared" si="5"/>
        <v>700</v>
      </c>
      <c r="F71" s="91">
        <f>+'proyectos 2022'!F138+'proyectos 2022'!F203</f>
        <v>1376</v>
      </c>
      <c r="G71" s="91">
        <f t="shared" si="4"/>
        <v>2076</v>
      </c>
      <c r="H71" s="91">
        <f>+'proyectos 2022'!L138+'proyectos 2022'!L203</f>
        <v>1575.27</v>
      </c>
      <c r="I71" s="91">
        <f t="shared" si="6"/>
        <v>500.73</v>
      </c>
    </row>
    <row r="72" spans="1:9" ht="15">
      <c r="A72" s="196" t="s">
        <v>117</v>
      </c>
      <c r="B72" s="191" t="s">
        <v>118</v>
      </c>
      <c r="C72" s="192">
        <v>0</v>
      </c>
      <c r="D72" s="91">
        <f>+'proyectos 2022'!D91+'proyectos 2022'!D112+'proyectos 2022'!D139+'proyectos 2022'!D204+'proyectos 2022'!D228+'proyectos 2022'!D46</f>
        <v>1700.03</v>
      </c>
      <c r="E72" s="91">
        <f t="shared" si="5"/>
        <v>1700.03</v>
      </c>
      <c r="F72" s="91">
        <f>+'proyectos 2022'!F91+'proyectos 2022'!F112+'proyectos 2022'!F139+'proyectos 2022'!F204+'proyectos 2022'!F228+'proyectos 2022'!F46</f>
        <v>2000</v>
      </c>
      <c r="G72" s="91">
        <f t="shared" si="4"/>
        <v>3700.0299999999997</v>
      </c>
      <c r="H72" s="91">
        <f>+'proyectos 2022'!L91+'proyectos 2022'!L112+'proyectos 2022'!L139+'proyectos 2022'!L204+'proyectos 2022'!L228+'proyectos 2022'!L46</f>
        <v>3186.56</v>
      </c>
      <c r="I72" s="91">
        <f t="shared" si="6"/>
        <v>513.4699999999998</v>
      </c>
    </row>
    <row r="73" spans="1:9" ht="15">
      <c r="A73" s="190" t="s">
        <v>119</v>
      </c>
      <c r="B73" s="191" t="s">
        <v>120</v>
      </c>
      <c r="C73" s="192">
        <v>0</v>
      </c>
      <c r="D73" s="91">
        <f>+'proyectos 2022'!D113</f>
        <v>16800</v>
      </c>
      <c r="E73" s="91">
        <f t="shared" si="5"/>
        <v>16800</v>
      </c>
      <c r="F73" s="91">
        <f>+'proyectos 2022'!F113</f>
        <v>-2000</v>
      </c>
      <c r="G73" s="91">
        <f t="shared" si="4"/>
        <v>14800</v>
      </c>
      <c r="H73" s="91">
        <f>+'proyectos 2022'!L113</f>
        <v>0</v>
      </c>
      <c r="I73" s="91">
        <f t="shared" si="6"/>
        <v>14800</v>
      </c>
    </row>
    <row r="74" spans="1:9" ht="15">
      <c r="A74" s="196" t="s">
        <v>121</v>
      </c>
      <c r="B74" s="191" t="s">
        <v>122</v>
      </c>
      <c r="C74" s="192">
        <v>0</v>
      </c>
      <c r="D74" s="91">
        <f>+'proyectos 2022'!D157+'proyectos 2022'!D179+'proyectos 2022'!D205</f>
        <v>75685.24</v>
      </c>
      <c r="E74" s="91">
        <f t="shared" si="5"/>
        <v>75685.24</v>
      </c>
      <c r="F74" s="91">
        <f>+'proyectos 2022'!F157+'proyectos 2022'!F179+'proyectos 2022'!F205</f>
        <v>-18485.94</v>
      </c>
      <c r="G74" s="91">
        <f t="shared" si="4"/>
        <v>57199.3</v>
      </c>
      <c r="H74" s="91">
        <f>+'proyectos 2022'!L157+'proyectos 2022'!L179+'proyectos 2022'!L205</f>
        <v>57199.18</v>
      </c>
      <c r="I74" s="91">
        <f t="shared" si="6"/>
        <v>0.12000000000261934</v>
      </c>
    </row>
    <row r="75" spans="1:9" ht="15">
      <c r="A75" s="196" t="s">
        <v>123</v>
      </c>
      <c r="B75" s="191" t="str">
        <f>+'proyectos 2022'!B180</f>
        <v xml:space="preserve">Honorarios por contratos civiles de Servicios </v>
      </c>
      <c r="C75" s="192">
        <v>0</v>
      </c>
      <c r="D75" s="91">
        <f>+'proyectos 2022'!D114+'proyectos 2022'!D158+'proyectos 2022'!D180+'proyectos 2022'!D206+'proyectos 2022'!D229+'proyectos 2022'!D47</f>
        <v>45347.78959999999</v>
      </c>
      <c r="E75" s="91">
        <f t="shared" si="5"/>
        <v>45347.78959999999</v>
      </c>
      <c r="F75" s="91">
        <f>+'proyectos 2022'!F114+'proyectos 2022'!F158+'proyectos 2022'!F180+'proyectos 2022'!F206+'proyectos 2022'!F229+'proyectos 2022'!F47</f>
        <v>-8250.82</v>
      </c>
      <c r="G75" s="91">
        <f t="shared" si="4"/>
        <v>37096.96959999999</v>
      </c>
      <c r="H75" s="91">
        <f>+'proyectos 2022'!L114+'proyectos 2022'!L158+'proyectos 2022'!L180+'proyectos 2022'!L206+'proyectos 2022'!L229+'proyectos 2022'!L47</f>
        <v>28949.97</v>
      </c>
      <c r="I75" s="91">
        <f t="shared" si="6"/>
        <v>8146.999599999988</v>
      </c>
    </row>
    <row r="76" spans="1:9" ht="15">
      <c r="A76" s="190" t="s">
        <v>124</v>
      </c>
      <c r="B76" s="191" t="s">
        <v>125</v>
      </c>
      <c r="C76" s="192">
        <v>0</v>
      </c>
      <c r="D76" s="91">
        <f>+'proyectos 2022'!D230+'proyectos 2022'!D48</f>
        <v>0.02</v>
      </c>
      <c r="E76" s="91">
        <f t="shared" si="5"/>
        <v>0.02</v>
      </c>
      <c r="F76" s="91">
        <f>+'proyectos 2022'!F230+'proyectos 2022'!F48</f>
        <v>1002</v>
      </c>
      <c r="G76" s="91">
        <f t="shared" si="4"/>
        <v>1002.02</v>
      </c>
      <c r="H76" s="91">
        <f>+'proyectos 2022'!L230+'proyectos 2022'!L48</f>
        <v>667.78</v>
      </c>
      <c r="I76" s="91">
        <f t="shared" si="6"/>
        <v>334.24</v>
      </c>
    </row>
    <row r="77" spans="1:9" ht="15">
      <c r="A77" s="196" t="s">
        <v>126</v>
      </c>
      <c r="B77" s="191" t="str">
        <f>+'proyectos 2022'!B72</f>
        <v>Mantenimiento y Reparación de Equipos y Sistemas Informáticos</v>
      </c>
      <c r="C77" s="192">
        <v>0</v>
      </c>
      <c r="D77" s="91">
        <f>+'proyectos 2022'!D72</f>
        <v>200</v>
      </c>
      <c r="E77" s="91">
        <f t="shared" si="5"/>
        <v>200</v>
      </c>
      <c r="F77" s="91">
        <f>+'proyectos 2022'!F72</f>
        <v>-200</v>
      </c>
      <c r="G77" s="91">
        <f t="shared" si="4"/>
        <v>0</v>
      </c>
      <c r="H77" s="91">
        <f>+'proyectos 2022'!L72</f>
        <v>0</v>
      </c>
      <c r="I77" s="91">
        <f t="shared" si="6"/>
        <v>0</v>
      </c>
    </row>
    <row r="78" spans="1:9" ht="15">
      <c r="A78" s="190" t="s">
        <v>127</v>
      </c>
      <c r="B78" s="191" t="s">
        <v>128</v>
      </c>
      <c r="C78" s="192">
        <v>0</v>
      </c>
      <c r="D78" s="91">
        <f>+'proyectos 2022'!D92+'proyectos 2022'!D115+'proyectos 2022'!D207+'proyectos 2022'!D231+'proyectos 2022'!D49+'proyectos 2022'!D159</f>
        <v>6500.04</v>
      </c>
      <c r="E78" s="91">
        <f>+D78+C78</f>
        <v>6500.04</v>
      </c>
      <c r="F78" s="91">
        <f>+'proyectos 2022'!F92+'proyectos 2022'!F115+'proyectos 2022'!F207+'proyectos 2022'!F231+'proyectos 2022'!F49+'proyectos 2022'!F159</f>
        <v>8390.82</v>
      </c>
      <c r="G78" s="91">
        <f t="shared" si="4"/>
        <v>14890.86</v>
      </c>
      <c r="H78" s="91">
        <f>+'proyectos 2022'!L92+'proyectos 2022'!L115+'proyectos 2022'!L207+'proyectos 2022'!L231+'proyectos 2022'!L49+'proyectos 2022'!L159</f>
        <v>14415.82</v>
      </c>
      <c r="I78" s="91">
        <f t="shared" si="6"/>
        <v>475.0400000000009</v>
      </c>
    </row>
    <row r="79" spans="1:9" ht="15">
      <c r="A79" s="190" t="s">
        <v>129</v>
      </c>
      <c r="B79" s="191" t="s">
        <v>130</v>
      </c>
      <c r="C79" s="192">
        <v>0</v>
      </c>
      <c r="D79" s="91">
        <f>+'proyectos 2022'!D93+'proyectos 2022'!D208</f>
        <v>4300</v>
      </c>
      <c r="E79" s="91">
        <f t="shared" si="5"/>
        <v>4300</v>
      </c>
      <c r="F79" s="91">
        <f>+'proyectos 2022'!F93+'proyectos 2022'!F208</f>
        <v>-800</v>
      </c>
      <c r="G79" s="91">
        <f t="shared" si="4"/>
        <v>3500</v>
      </c>
      <c r="H79" s="91">
        <f>+'proyectos 2022'!L93+'proyectos 2022'!L208</f>
        <v>3222.36</v>
      </c>
      <c r="I79" s="91">
        <f t="shared" si="6"/>
        <v>277.6399999999999</v>
      </c>
    </row>
    <row r="80" spans="1:10" ht="15">
      <c r="A80" s="190" t="s">
        <v>131</v>
      </c>
      <c r="B80" s="191" t="s">
        <v>132</v>
      </c>
      <c r="C80" s="192">
        <v>0</v>
      </c>
      <c r="D80" s="91">
        <f>+'proyectos 2022'!D160+'proyectos 2022'!D50</f>
        <v>1.01</v>
      </c>
      <c r="E80" s="91">
        <f t="shared" si="5"/>
        <v>1.01</v>
      </c>
      <c r="F80" s="91">
        <f>+'proyectos 2022'!F160+'proyectos 2022'!F50</f>
        <v>0</v>
      </c>
      <c r="G80" s="91">
        <f t="shared" si="4"/>
        <v>1.01</v>
      </c>
      <c r="H80" s="91">
        <f>+'proyectos 2022'!L160+'proyectos 2022'!L50</f>
        <v>0</v>
      </c>
      <c r="I80" s="91">
        <f t="shared" si="6"/>
        <v>1.01</v>
      </c>
      <c r="J80" t="s">
        <v>133</v>
      </c>
    </row>
    <row r="81" spans="1:9" ht="15">
      <c r="A81" s="190" t="s">
        <v>134</v>
      </c>
      <c r="B81" s="191" t="s">
        <v>135</v>
      </c>
      <c r="C81" s="192">
        <v>0</v>
      </c>
      <c r="D81" s="91">
        <f>+'proyectos 2022'!D161+'proyectos 2022'!D51</f>
        <v>1.01</v>
      </c>
      <c r="E81" s="91">
        <f t="shared" si="5"/>
        <v>1.01</v>
      </c>
      <c r="F81" s="91">
        <f>+'proyectos 2022'!F161+'proyectos 2022'!F51</f>
        <v>0</v>
      </c>
      <c r="G81" s="91">
        <f t="shared" si="4"/>
        <v>1.01</v>
      </c>
      <c r="H81" s="91">
        <f>+'proyectos 2022'!L161+'proyectos 2022'!L51</f>
        <v>0</v>
      </c>
      <c r="I81" s="91">
        <f t="shared" si="6"/>
        <v>1.01</v>
      </c>
    </row>
    <row r="82" spans="1:9" ht="15">
      <c r="A82" s="190" t="s">
        <v>136</v>
      </c>
      <c r="B82" s="191" t="s">
        <v>137</v>
      </c>
      <c r="C82" s="192">
        <v>0</v>
      </c>
      <c r="D82" s="91">
        <f>+'proyectos 2022'!D116+'proyectos 2022'!D140+'proyectos 2022'!D232+'proyectos 2022'!D52</f>
        <v>7913.2300000000005</v>
      </c>
      <c r="E82" s="91">
        <f t="shared" si="5"/>
        <v>7913.2300000000005</v>
      </c>
      <c r="F82" s="91">
        <f>+'proyectos 2022'!F116+'proyectos 2022'!F140+'proyectos 2022'!F232+'proyectos 2022'!F52</f>
        <v>-1266</v>
      </c>
      <c r="G82" s="91">
        <f t="shared" si="4"/>
        <v>6647.2300000000005</v>
      </c>
      <c r="H82" s="91">
        <f>+'proyectos 2022'!L116+'proyectos 2022'!L140+'proyectos 2022'!L232+'proyectos 2022'!L52</f>
        <v>6043.83</v>
      </c>
      <c r="I82" s="91">
        <f t="shared" si="6"/>
        <v>603.4000000000005</v>
      </c>
    </row>
    <row r="83" spans="1:9" ht="15">
      <c r="A83" s="190" t="s">
        <v>138</v>
      </c>
      <c r="B83" s="191" t="s">
        <v>139</v>
      </c>
      <c r="C83" s="192">
        <v>0</v>
      </c>
      <c r="D83" s="91">
        <f>+'proyectos 2022'!D53</f>
        <v>0.01</v>
      </c>
      <c r="E83" s="91">
        <f t="shared" si="5"/>
        <v>0.01</v>
      </c>
      <c r="F83" s="91">
        <f>+'proyectos 2022'!F53</f>
        <v>0</v>
      </c>
      <c r="G83" s="91">
        <f t="shared" si="4"/>
        <v>0.01</v>
      </c>
      <c r="H83" s="91">
        <f>+'proyectos 2022'!L53</f>
        <v>0</v>
      </c>
      <c r="I83" s="91">
        <f t="shared" si="6"/>
        <v>0.01</v>
      </c>
    </row>
    <row r="84" spans="1:9" ht="15">
      <c r="A84" s="190" t="s">
        <v>140</v>
      </c>
      <c r="B84" s="191" t="s">
        <v>141</v>
      </c>
      <c r="C84" s="192">
        <v>0</v>
      </c>
      <c r="D84" s="91">
        <f>+'proyectos 2022'!D94+'proyectos 2022'!D209</f>
        <v>4100</v>
      </c>
      <c r="E84" s="91">
        <f t="shared" si="5"/>
        <v>4100</v>
      </c>
      <c r="F84" s="91">
        <f>+'proyectos 2022'!F94+'proyectos 2022'!F209</f>
        <v>-1570</v>
      </c>
      <c r="G84" s="91">
        <f t="shared" si="4"/>
        <v>2530</v>
      </c>
      <c r="H84" s="91">
        <f>+'proyectos 2022'!L94+'proyectos 2022'!L209</f>
        <v>2529.71</v>
      </c>
      <c r="I84" s="91">
        <f t="shared" si="6"/>
        <v>0.2899999999999636</v>
      </c>
    </row>
    <row r="85" spans="1:9" ht="15">
      <c r="A85" s="190" t="s">
        <v>142</v>
      </c>
      <c r="B85" s="191" t="s">
        <v>143</v>
      </c>
      <c r="C85" s="192">
        <v>0</v>
      </c>
      <c r="D85" s="91">
        <f>+'proyectos 2022'!D95+'proyectos 2022'!D233+'proyectos 2022'!D54</f>
        <v>0.03</v>
      </c>
      <c r="E85" s="91">
        <f t="shared" si="5"/>
        <v>0.03</v>
      </c>
      <c r="F85" s="91">
        <f>+'proyectos 2022'!F95+'proyectos 2022'!F233+'proyectos 2022'!F54</f>
        <v>59.14</v>
      </c>
      <c r="G85" s="91">
        <f t="shared" si="4"/>
        <v>59.17</v>
      </c>
      <c r="H85" s="91">
        <f>+'proyectos 2022'!L95+'proyectos 2022'!L233+'proyectos 2022'!L54</f>
        <v>0</v>
      </c>
      <c r="I85" s="91">
        <f t="shared" si="6"/>
        <v>59.17</v>
      </c>
    </row>
    <row r="86" spans="1:9" ht="15">
      <c r="A86" s="190" t="s">
        <v>144</v>
      </c>
      <c r="B86" s="191" t="s">
        <v>145</v>
      </c>
      <c r="C86" s="192">
        <v>0</v>
      </c>
      <c r="D86" s="91">
        <f>+'proyectos 2022'!D55</f>
        <v>0.01</v>
      </c>
      <c r="E86" s="91">
        <f t="shared" si="5"/>
        <v>0.01</v>
      </c>
      <c r="F86" s="91">
        <f>+'proyectos 2022'!F55</f>
        <v>0</v>
      </c>
      <c r="G86" s="91">
        <f t="shared" si="4"/>
        <v>0.01</v>
      </c>
      <c r="H86" s="91">
        <f>+'proyectos 2022'!L55</f>
        <v>0</v>
      </c>
      <c r="I86" s="91">
        <f t="shared" si="6"/>
        <v>0.01</v>
      </c>
    </row>
    <row r="87" spans="1:13" ht="15">
      <c r="A87" s="196" t="s">
        <v>146</v>
      </c>
      <c r="B87" s="191" t="str">
        <f>+'proyectos 2022'!B56</f>
        <v>Uniformes deportivos</v>
      </c>
      <c r="C87" s="192">
        <v>0</v>
      </c>
      <c r="D87" s="91">
        <f>+'proyectos 2022'!D56</f>
        <v>0.01</v>
      </c>
      <c r="E87" s="91">
        <f t="shared" si="5"/>
        <v>0.01</v>
      </c>
      <c r="F87" s="91">
        <f>+'proyectos 2022'!F56</f>
        <v>0</v>
      </c>
      <c r="G87" s="91">
        <f t="shared" si="4"/>
        <v>0.01</v>
      </c>
      <c r="H87" s="91">
        <f>+'proyectos 2022'!L56</f>
        <v>0</v>
      </c>
      <c r="I87" s="91">
        <f t="shared" si="6"/>
        <v>0.01</v>
      </c>
      <c r="M87" s="7"/>
    </row>
    <row r="88" spans="1:10" ht="15">
      <c r="A88" s="196" t="s">
        <v>147</v>
      </c>
      <c r="B88" s="191" t="str">
        <f>+'proyectos 2022'!B57</f>
        <v>Bienes Artísticos, Culturales, Bienes Deportivos y Símbolos Patrios</v>
      </c>
      <c r="C88" s="192">
        <v>0</v>
      </c>
      <c r="D88" s="91">
        <f>+'proyectos 2022'!D57</f>
        <v>0.01</v>
      </c>
      <c r="E88" s="91">
        <f t="shared" si="5"/>
        <v>0.01</v>
      </c>
      <c r="F88" s="91">
        <f>+'proyectos 2022'!F57</f>
        <v>1064.99</v>
      </c>
      <c r="G88" s="91">
        <f t="shared" si="4"/>
        <v>1065</v>
      </c>
      <c r="H88" s="91">
        <f>+'proyectos 2022'!L57</f>
        <v>1065</v>
      </c>
      <c r="I88" s="91">
        <f t="shared" si="6"/>
        <v>0</v>
      </c>
      <c r="J88" s="7"/>
    </row>
    <row r="89" spans="1:10" ht="15">
      <c r="A89" s="190" t="s">
        <v>148</v>
      </c>
      <c r="B89" s="191" t="s">
        <v>149</v>
      </c>
      <c r="C89" s="192">
        <v>0</v>
      </c>
      <c r="D89" s="91">
        <f>+'proyectos 2022'!D96</f>
        <v>0.01</v>
      </c>
      <c r="E89" s="91">
        <f t="shared" si="5"/>
        <v>0.01</v>
      </c>
      <c r="F89" s="91">
        <f>+'proyectos 2022'!F96</f>
        <v>7250.15</v>
      </c>
      <c r="G89" s="91">
        <f t="shared" si="4"/>
        <v>7250.16</v>
      </c>
      <c r="H89" s="91">
        <f>+'proyectos 2022'!L96</f>
        <v>0</v>
      </c>
      <c r="I89" s="91">
        <f t="shared" si="6"/>
        <v>7250.16</v>
      </c>
      <c r="J89" s="7"/>
    </row>
    <row r="90" spans="1:9" ht="15">
      <c r="A90" s="196" t="s">
        <v>150</v>
      </c>
      <c r="B90" s="191" t="str">
        <f>+'proyectos 2022'!B141</f>
        <v>Infraestructura de alcantarillado</v>
      </c>
      <c r="C90" s="192">
        <v>0</v>
      </c>
      <c r="D90" s="91">
        <f>+'proyectos 2022'!D141</f>
        <v>10000.02</v>
      </c>
      <c r="E90" s="91">
        <f t="shared" si="5"/>
        <v>10000.02</v>
      </c>
      <c r="F90" s="91">
        <f>+'proyectos 2022'!F141</f>
        <v>0</v>
      </c>
      <c r="G90" s="91">
        <f t="shared" si="4"/>
        <v>10000.02</v>
      </c>
      <c r="H90" s="91">
        <f>+'proyectos 2022'!L141</f>
        <v>10000</v>
      </c>
      <c r="I90" s="91">
        <f t="shared" si="6"/>
        <v>0.020000000000436557</v>
      </c>
    </row>
    <row r="91" spans="1:9" ht="15">
      <c r="A91" s="190" t="s">
        <v>151</v>
      </c>
      <c r="B91" s="191" t="s">
        <v>152</v>
      </c>
      <c r="C91" s="192">
        <v>0</v>
      </c>
      <c r="D91" s="91">
        <f>+'proyectos 2022'!D117+'proyectos 2022'!D162</f>
        <v>1</v>
      </c>
      <c r="E91" s="91">
        <f t="shared" si="5"/>
        <v>1</v>
      </c>
      <c r="F91" s="91">
        <f>+'proyectos 2022'!F117+'proyectos 2022'!F162</f>
        <v>0</v>
      </c>
      <c r="G91" s="91">
        <f t="shared" si="4"/>
        <v>1</v>
      </c>
      <c r="H91" s="91">
        <f>+'proyectos 2022'!L117+'proyectos 2022'!L162</f>
        <v>0</v>
      </c>
      <c r="I91" s="91">
        <f t="shared" si="6"/>
        <v>1</v>
      </c>
    </row>
    <row r="92" spans="1:9" ht="15">
      <c r="A92" s="196" t="s">
        <v>153</v>
      </c>
      <c r="B92" s="191" t="str">
        <f>+'proyectos 2022'!B118</f>
        <v>Transporte y Vías</v>
      </c>
      <c r="C92" s="192"/>
      <c r="D92" s="91">
        <f>+'proyectos 2022'!D118</f>
        <v>40766.92</v>
      </c>
      <c r="E92" s="91">
        <f t="shared" si="5"/>
        <v>40766.92</v>
      </c>
      <c r="F92" s="91">
        <f>+'proyectos 2022'!F118</f>
        <v>32046.030000000006</v>
      </c>
      <c r="G92" s="91">
        <f t="shared" si="4"/>
        <v>72812.95000000001</v>
      </c>
      <c r="H92" s="91">
        <f>+'proyectos 2022'!L118</f>
        <v>50289.17</v>
      </c>
      <c r="I92" s="91">
        <f t="shared" si="6"/>
        <v>22523.780000000013</v>
      </c>
    </row>
    <row r="93" spans="1:9" ht="15">
      <c r="A93" s="190" t="s">
        <v>154</v>
      </c>
      <c r="B93" s="191" t="s">
        <v>155</v>
      </c>
      <c r="C93" s="192">
        <v>0</v>
      </c>
      <c r="D93" s="91">
        <f>+'proyectos 2022'!D119</f>
        <v>1600</v>
      </c>
      <c r="E93" s="91">
        <f t="shared" si="5"/>
        <v>1600</v>
      </c>
      <c r="F93" s="91">
        <f>+'proyectos 2022'!F119</f>
        <v>0</v>
      </c>
      <c r="G93" s="91">
        <f aca="true" t="shared" si="7" ref="G93:G107">+E93+F93</f>
        <v>1600</v>
      </c>
      <c r="H93" s="91">
        <f>+'proyectos 2022'!L119</f>
        <v>1500</v>
      </c>
      <c r="I93" s="91">
        <f t="shared" si="6"/>
        <v>100</v>
      </c>
    </row>
    <row r="94" spans="1:9" ht="15">
      <c r="A94" s="196" t="s">
        <v>156</v>
      </c>
      <c r="B94" s="191" t="s">
        <v>157</v>
      </c>
      <c r="C94" s="192">
        <v>0</v>
      </c>
      <c r="D94" s="91">
        <f>+'proyectos 2022'!D120+'proyectos 2022'!D234</f>
        <v>0.02</v>
      </c>
      <c r="E94" s="91">
        <f t="shared" si="5"/>
        <v>0.02</v>
      </c>
      <c r="F94" s="91">
        <f>+'proyectos 2022'!F120+'proyectos 2022'!F234</f>
        <v>0</v>
      </c>
      <c r="G94" s="91">
        <f t="shared" si="7"/>
        <v>0.02</v>
      </c>
      <c r="H94" s="91">
        <f>+'proyectos 2022'!L120+'proyectos 2022'!L234</f>
        <v>0</v>
      </c>
      <c r="I94" s="91">
        <f t="shared" si="6"/>
        <v>0.02</v>
      </c>
    </row>
    <row r="95" spans="1:9" ht="15">
      <c r="A95" s="196" t="s">
        <v>158</v>
      </c>
      <c r="B95" s="191" t="str">
        <f>+'proyectos 2022'!B121</f>
        <v>Otras obras de infraestructura</v>
      </c>
      <c r="C95" s="192">
        <v>0</v>
      </c>
      <c r="D95" s="91">
        <f>+'proyectos 2022'!D121+'proyectos 2022'!D163</f>
        <v>0.02</v>
      </c>
      <c r="E95" s="91">
        <f t="shared" si="5"/>
        <v>0.02</v>
      </c>
      <c r="F95" s="91">
        <f>+'proyectos 2022'!F121+'proyectos 2022'!F163</f>
        <v>0</v>
      </c>
      <c r="G95" s="91">
        <f t="shared" si="7"/>
        <v>0.02</v>
      </c>
      <c r="H95" s="91">
        <f>+'proyectos 2022'!L121+'proyectos 2022'!L163</f>
        <v>0</v>
      </c>
      <c r="I95" s="91">
        <f t="shared" si="6"/>
        <v>0.02</v>
      </c>
    </row>
    <row r="96" spans="1:9" ht="15">
      <c r="A96" s="190" t="s">
        <v>159</v>
      </c>
      <c r="B96" s="191" t="s">
        <v>78</v>
      </c>
      <c r="C96" s="192">
        <v>0</v>
      </c>
      <c r="D96" s="91">
        <f>+'proyectos 2022'!D210</f>
        <v>1600</v>
      </c>
      <c r="E96" s="91">
        <f t="shared" si="5"/>
        <v>1600</v>
      </c>
      <c r="F96" s="91">
        <f>+'proyectos 2022'!F210</f>
        <v>3500</v>
      </c>
      <c r="G96" s="91">
        <f t="shared" si="7"/>
        <v>5100</v>
      </c>
      <c r="H96" s="91">
        <f>+'proyectos 2022'!L210</f>
        <v>3963.21</v>
      </c>
      <c r="I96" s="91">
        <f t="shared" si="6"/>
        <v>1136.79</v>
      </c>
    </row>
    <row r="97" spans="1:9" ht="15">
      <c r="A97" s="190" t="s">
        <v>160</v>
      </c>
      <c r="B97" s="191" t="s">
        <v>161</v>
      </c>
      <c r="C97" s="192">
        <v>0</v>
      </c>
      <c r="D97" s="91">
        <f>+'proyectos 2022'!D181</f>
        <v>500</v>
      </c>
      <c r="E97" s="91">
        <f t="shared" si="5"/>
        <v>500</v>
      </c>
      <c r="F97" s="91">
        <f>+'proyectos 2022'!F181</f>
        <v>0</v>
      </c>
      <c r="G97" s="91">
        <f t="shared" si="7"/>
        <v>500</v>
      </c>
      <c r="H97" s="91">
        <f>+'proyectos 2022'!L181</f>
        <v>367.05</v>
      </c>
      <c r="I97" s="91">
        <f aca="true" t="shared" si="8" ref="I97:I107">+G97-H97</f>
        <v>132.95</v>
      </c>
    </row>
    <row r="98" spans="1:9" ht="15">
      <c r="A98" s="190" t="s">
        <v>162</v>
      </c>
      <c r="B98" s="191" t="s">
        <v>163</v>
      </c>
      <c r="C98" s="192">
        <v>0</v>
      </c>
      <c r="D98" s="91">
        <f>+'proyectos 2022'!D122+'proyectos 2022'!D58+'proyectos 2022'!D164</f>
        <v>0.01</v>
      </c>
      <c r="E98" s="91">
        <f t="shared" si="5"/>
        <v>0.01</v>
      </c>
      <c r="F98" s="91">
        <f>+'proyectos 2022'!F122+'proyectos 2022'!F58+'proyectos 2022'!F164</f>
        <v>4050</v>
      </c>
      <c r="G98" s="91">
        <f t="shared" si="7"/>
        <v>4050.01</v>
      </c>
      <c r="H98" s="91">
        <f>+'proyectos 2022'!L122+'proyectos 2022'!L58+'proyectos 2022'!L164</f>
        <v>3653.27</v>
      </c>
      <c r="I98" s="91">
        <f t="shared" si="8"/>
        <v>396.74000000000024</v>
      </c>
    </row>
    <row r="99" spans="1:10" ht="15">
      <c r="A99" s="190" t="s">
        <v>164</v>
      </c>
      <c r="B99" s="191" t="s">
        <v>165</v>
      </c>
      <c r="C99" s="192">
        <v>0</v>
      </c>
      <c r="D99" s="91">
        <f>+'proyectos 2022'!D97+'proyectos 2022'!D123+'proyectos 2022'!D165+'proyectos 2022'!D211+'proyectos 2022'!D235</f>
        <v>40601.020000000004</v>
      </c>
      <c r="E99" s="91">
        <f t="shared" si="5"/>
        <v>40601.020000000004</v>
      </c>
      <c r="F99" s="91">
        <f>+'proyectos 2022'!F97+'proyectos 2022'!F123+'proyectos 2022'!F165+'proyectos 2022'!F211+'proyectos 2022'!F235</f>
        <v>33860.92</v>
      </c>
      <c r="G99" s="91">
        <f t="shared" si="7"/>
        <v>74461.94</v>
      </c>
      <c r="H99" s="91">
        <f>+'proyectos 2022'!L97+'proyectos 2022'!L123+'proyectos 2022'!L165+'proyectos 2022'!L211+'proyectos 2022'!L235</f>
        <v>28319</v>
      </c>
      <c r="I99" s="91">
        <f t="shared" si="8"/>
        <v>46142.94</v>
      </c>
      <c r="J99" t="s">
        <v>166</v>
      </c>
    </row>
    <row r="100" spans="1:9" ht="15">
      <c r="A100" s="196" t="s">
        <v>167</v>
      </c>
      <c r="B100" s="191" t="s">
        <v>168</v>
      </c>
      <c r="C100" s="192"/>
      <c r="D100" s="91">
        <f>+'proyectos 2022'!D212</f>
        <v>9586.8</v>
      </c>
      <c r="E100" s="91">
        <f t="shared" si="5"/>
        <v>9586.8</v>
      </c>
      <c r="F100" s="91">
        <f>+'proyectos 2022'!F212</f>
        <v>70991.95</v>
      </c>
      <c r="G100" s="91">
        <f t="shared" si="7"/>
        <v>80578.75</v>
      </c>
      <c r="H100" s="91">
        <f>+'proyectos 2022'!L212</f>
        <v>79800</v>
      </c>
      <c r="I100" s="91">
        <f t="shared" si="8"/>
        <v>778.75</v>
      </c>
    </row>
    <row r="101" spans="1:9" ht="15">
      <c r="A101" s="190" t="s">
        <v>169</v>
      </c>
      <c r="B101" s="191" t="s">
        <v>170</v>
      </c>
      <c r="C101" s="192">
        <v>0</v>
      </c>
      <c r="D101" s="91">
        <f>+'proyectos 2022'!D98</f>
        <v>0.01</v>
      </c>
      <c r="E101" s="91">
        <f t="shared" si="5"/>
        <v>0.01</v>
      </c>
      <c r="F101" s="91">
        <f>+'proyectos 2022'!F98</f>
        <v>0</v>
      </c>
      <c r="G101" s="91">
        <f t="shared" si="7"/>
        <v>0.01</v>
      </c>
      <c r="H101" s="91">
        <f>+'proyectos 2022'!L98</f>
        <v>0</v>
      </c>
      <c r="I101" s="91">
        <f t="shared" si="8"/>
        <v>0.01</v>
      </c>
    </row>
    <row r="102" spans="1:9" ht="15">
      <c r="A102" s="190" t="s">
        <v>171</v>
      </c>
      <c r="B102" s="191" t="s">
        <v>172</v>
      </c>
      <c r="C102" s="192">
        <v>0</v>
      </c>
      <c r="D102" s="91">
        <f>+'proyectos 2022'!D124+'proyectos 2022'!D73</f>
        <v>1831.63</v>
      </c>
      <c r="E102" s="91">
        <f t="shared" si="5"/>
        <v>1831.63</v>
      </c>
      <c r="F102" s="91">
        <f>+'proyectos 2022'!F124+'proyectos 2022'!F73</f>
        <v>-1699</v>
      </c>
      <c r="G102" s="91">
        <f t="shared" si="7"/>
        <v>132.6300000000001</v>
      </c>
      <c r="H102" s="91">
        <f>+'proyectos 2022'!L124+'proyectos 2022'!L73</f>
        <v>0</v>
      </c>
      <c r="I102" s="91">
        <f t="shared" si="8"/>
        <v>132.6300000000001</v>
      </c>
    </row>
    <row r="103" spans="1:9" ht="15">
      <c r="A103" s="190" t="s">
        <v>173</v>
      </c>
      <c r="B103" s="191" t="s">
        <v>174</v>
      </c>
      <c r="C103" s="192"/>
      <c r="D103" s="91">
        <f>+'proyectos 2022'!D59</f>
        <v>0.01</v>
      </c>
      <c r="E103" s="91">
        <f t="shared" si="5"/>
        <v>0.01</v>
      </c>
      <c r="F103" s="91">
        <f>+'proyectos 2022'!F59</f>
        <v>0</v>
      </c>
      <c r="G103" s="91">
        <f t="shared" si="7"/>
        <v>0.01</v>
      </c>
      <c r="H103" s="91">
        <f>+'proyectos 2022'!L59</f>
        <v>0</v>
      </c>
      <c r="I103" s="91">
        <f t="shared" si="8"/>
        <v>0.01</v>
      </c>
    </row>
    <row r="104" spans="1:10" ht="15">
      <c r="A104" s="196" t="s">
        <v>175</v>
      </c>
      <c r="B104" s="191" t="str">
        <f>+'proyectos 2022'!B125</f>
        <v>Terreno (expropiacion)</v>
      </c>
      <c r="C104" s="192">
        <v>0</v>
      </c>
      <c r="D104" s="91">
        <f>+'proyectos 2022'!D125+'proyectos 2022'!D166</f>
        <v>10001</v>
      </c>
      <c r="E104" s="91">
        <f t="shared" si="5"/>
        <v>10001</v>
      </c>
      <c r="F104" s="91">
        <f>+'proyectos 2022'!F125+'proyectos 2022'!F166</f>
        <v>-10000</v>
      </c>
      <c r="G104" s="91">
        <f t="shared" si="7"/>
        <v>1</v>
      </c>
      <c r="H104" s="91">
        <f>+'proyectos 2022'!L125+'proyectos 2022'!L166</f>
        <v>0</v>
      </c>
      <c r="I104" s="91">
        <f t="shared" si="8"/>
        <v>1</v>
      </c>
      <c r="J104" t="s">
        <v>176</v>
      </c>
    </row>
    <row r="105" spans="1:9" ht="15">
      <c r="A105" s="190" t="s">
        <v>177</v>
      </c>
      <c r="B105" s="191" t="s">
        <v>178</v>
      </c>
      <c r="C105" s="192"/>
      <c r="D105" s="91">
        <f>+'proyectos 2022'!D213</f>
        <v>0.02</v>
      </c>
      <c r="E105" s="91">
        <f t="shared" si="5"/>
        <v>0.02</v>
      </c>
      <c r="F105" s="91">
        <f>+'proyectos 2022'!F213</f>
        <v>5300</v>
      </c>
      <c r="G105" s="91">
        <f t="shared" si="7"/>
        <v>5300.02</v>
      </c>
      <c r="H105" s="91">
        <f>+'proyectos 2022'!L213</f>
        <v>2291.04</v>
      </c>
      <c r="I105" s="91">
        <f t="shared" si="8"/>
        <v>3008.9800000000005</v>
      </c>
    </row>
    <row r="106" spans="1:9" ht="15">
      <c r="A106" s="190" t="s">
        <v>179</v>
      </c>
      <c r="B106" s="191" t="s">
        <v>180</v>
      </c>
      <c r="C106" s="192"/>
      <c r="D106" s="91">
        <f>+'proyectos 2022'!D214</f>
        <v>0.01</v>
      </c>
      <c r="E106" s="91">
        <f t="shared" si="5"/>
        <v>0.01</v>
      </c>
      <c r="F106" s="91">
        <f>+'proyectos 2022'!F214</f>
        <v>0</v>
      </c>
      <c r="G106" s="91">
        <f t="shared" si="7"/>
        <v>0.01</v>
      </c>
      <c r="H106" s="91">
        <f>+'proyectos 2022'!L214</f>
        <v>0</v>
      </c>
      <c r="I106" s="91">
        <f t="shared" si="8"/>
        <v>0.01</v>
      </c>
    </row>
    <row r="107" spans="1:9" ht="15">
      <c r="A107" s="190" t="s">
        <v>181</v>
      </c>
      <c r="B107" s="191" t="s">
        <v>182</v>
      </c>
      <c r="C107" s="192"/>
      <c r="D107" s="91">
        <f>+'proyectos 2022'!D195</f>
        <v>16014.78</v>
      </c>
      <c r="E107" s="91">
        <f t="shared" si="5"/>
        <v>16014.78</v>
      </c>
      <c r="F107" s="91">
        <f>+'proyectos 2022'!F195</f>
        <v>0</v>
      </c>
      <c r="G107" s="91">
        <f t="shared" si="7"/>
        <v>16014.78</v>
      </c>
      <c r="H107" s="91">
        <f>+'proyectos 2022'!L195</f>
        <v>11405.08</v>
      </c>
      <c r="I107" s="91">
        <f t="shared" si="8"/>
        <v>4609.700000000001</v>
      </c>
    </row>
    <row r="108" spans="1:11" ht="15">
      <c r="A108" s="224" t="s">
        <v>183</v>
      </c>
      <c r="B108" s="225"/>
      <c r="C108" s="194">
        <f aca="true" t="shared" si="9" ref="C108:I108">SUM(C28:C107)</f>
        <v>0</v>
      </c>
      <c r="D108" s="194">
        <f t="shared" si="9"/>
        <v>420097.1676000001</v>
      </c>
      <c r="E108" s="194">
        <f t="shared" si="9"/>
        <v>420097.1676000001</v>
      </c>
      <c r="F108" s="194">
        <f t="shared" si="9"/>
        <v>154307.66999999998</v>
      </c>
      <c r="G108" s="194">
        <f t="shared" si="9"/>
        <v>574404.8376000001</v>
      </c>
      <c r="H108" s="194">
        <f t="shared" si="9"/>
        <v>447651.34</v>
      </c>
      <c r="I108" s="194">
        <f t="shared" si="9"/>
        <v>126753.4976</v>
      </c>
      <c r="K108" s="7"/>
    </row>
    <row r="109" spans="1:11" ht="15">
      <c r="A109" s="154"/>
      <c r="B109" s="10"/>
      <c r="C109" s="154"/>
      <c r="D109" s="154"/>
      <c r="E109" s="154"/>
      <c r="F109" s="154"/>
      <c r="G109" s="195"/>
      <c r="H109" s="10"/>
      <c r="I109" s="10"/>
      <c r="K109" s="7"/>
    </row>
    <row r="110" spans="1:9" ht="15">
      <c r="A110" s="154"/>
      <c r="B110" s="10"/>
      <c r="C110" s="154"/>
      <c r="D110" s="154"/>
      <c r="E110" s="154"/>
      <c r="F110" s="154"/>
      <c r="G110" s="195"/>
      <c r="H110" s="10"/>
      <c r="I110" s="53"/>
    </row>
    <row r="111" spans="1:11" ht="15">
      <c r="A111" s="154"/>
      <c r="B111" s="10"/>
      <c r="C111" s="154"/>
      <c r="D111" s="154"/>
      <c r="E111" s="195"/>
      <c r="F111" s="154"/>
      <c r="G111" s="195">
        <f>+G15-G108</f>
        <v>-0.0076000000117346644</v>
      </c>
      <c r="H111" s="10"/>
      <c r="I111" s="10"/>
      <c r="J111" s="7"/>
      <c r="K111" s="7"/>
    </row>
    <row r="112" spans="1:13" ht="15">
      <c r="A112" s="154"/>
      <c r="B112" s="10"/>
      <c r="C112" s="154"/>
      <c r="D112" s="154"/>
      <c r="E112" s="154"/>
      <c r="F112" s="154"/>
      <c r="G112" s="154"/>
      <c r="H112" s="53">
        <f>+H108-446626.06</f>
        <v>1025.280000000028</v>
      </c>
      <c r="I112" s="53">
        <f>+D15-E108</f>
        <v>-0.007600000128149986</v>
      </c>
      <c r="M112" s="7"/>
    </row>
    <row r="113" spans="1:9" ht="15">
      <c r="A113" s="154"/>
      <c r="B113" s="10"/>
      <c r="C113" s="154"/>
      <c r="D113" s="154"/>
      <c r="E113" s="154"/>
      <c r="F113" s="195"/>
      <c r="G113" s="154"/>
      <c r="H113" s="10"/>
      <c r="I113" s="10"/>
    </row>
    <row r="114" spans="1:9" ht="15">
      <c r="A114" s="216" t="s">
        <v>30</v>
      </c>
      <c r="B114" s="216"/>
      <c r="C114" s="216"/>
      <c r="D114" s="216"/>
      <c r="E114" s="216"/>
      <c r="F114" s="10"/>
      <c r="G114" s="10"/>
      <c r="H114" s="10"/>
      <c r="I114" s="10"/>
    </row>
    <row r="115" spans="1:9" ht="15">
      <c r="A115" s="217" t="s">
        <v>31</v>
      </c>
      <c r="B115" s="217"/>
      <c r="C115" s="217"/>
      <c r="D115" s="217"/>
      <c r="E115" s="217"/>
      <c r="F115" s="152"/>
      <c r="G115" s="152"/>
      <c r="H115" s="53"/>
      <c r="I115" s="10"/>
    </row>
  </sheetData>
  <mergeCells count="18">
    <mergeCell ref="F3:F4"/>
    <mergeCell ref="G3:G4"/>
    <mergeCell ref="A115:E115"/>
    <mergeCell ref="A3:A4"/>
    <mergeCell ref="B3:B4"/>
    <mergeCell ref="C3:C4"/>
    <mergeCell ref="D3:D4"/>
    <mergeCell ref="E3:E4"/>
    <mergeCell ref="A23:E23"/>
    <mergeCell ref="A24:E24"/>
    <mergeCell ref="A26:E26"/>
    <mergeCell ref="A108:B108"/>
    <mergeCell ref="A114:E114"/>
    <mergeCell ref="A1:E1"/>
    <mergeCell ref="A2:E2"/>
    <mergeCell ref="B15:C15"/>
    <mergeCell ref="A19:E19"/>
    <mergeCell ref="A20:E20"/>
  </mergeCells>
  <printOptions/>
  <pageMargins left="0.708661417322835" right="0.708661417322835" top="0.984251968503937" bottom="0.748031496062992" header="0.31496062992126" footer="0.31496062992126"/>
  <pageSetup horizontalDpi="360" verticalDpi="360" orientation="portrait" scale="75"/>
  <headerFooter>
    <oddHeader>&amp;C&amp;G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36"/>
  <sheetViews>
    <sheetView zoomScale="85" zoomScaleNormal="85" zoomScalePageLayoutView="55" workbookViewId="0" topLeftCell="A1">
      <pane xSplit="2" ySplit="6" topLeftCell="C196" activePane="bottomRight" state="frozen"/>
      <selection pane="topRight" activeCell="C1" sqref="C1"/>
      <selection pane="bottomLeft" activeCell="A7" sqref="A7"/>
      <selection pane="bottomRight" activeCell="D207" sqref="D207"/>
    </sheetView>
  </sheetViews>
  <sheetFormatPr defaultColWidth="11.421875" defaultRowHeight="15"/>
  <cols>
    <col min="1" max="1" width="20.7109375" style="147" customWidth="1"/>
    <col min="2" max="2" width="77.421875" style="147" customWidth="1"/>
    <col min="3" max="3" width="11.8515625" style="147" customWidth="1"/>
    <col min="4" max="4" width="17.140625" style="147" customWidth="1"/>
    <col min="5" max="7" width="16.140625" style="147" customWidth="1"/>
    <col min="8" max="8" width="12.7109375" style="147" customWidth="1"/>
    <col min="9" max="10" width="13.421875" style="147" customWidth="1"/>
    <col min="11" max="11" width="13.00390625" style="147" customWidth="1"/>
    <col min="12" max="12" width="13.421875" style="147" customWidth="1"/>
    <col min="13" max="13" width="16.140625" style="147" customWidth="1"/>
    <col min="14" max="16384" width="11.421875" style="147" customWidth="1"/>
  </cols>
  <sheetData>
    <row r="1" spans="1:26" ht="14.25">
      <c r="A1" s="226" t="s">
        <v>184</v>
      </c>
      <c r="B1" s="226"/>
      <c r="C1" s="226"/>
      <c r="D1" s="226"/>
      <c r="E1" s="226"/>
      <c r="F1" s="148"/>
      <c r="G1" s="148"/>
      <c r="H1" s="148"/>
      <c r="I1" s="148"/>
      <c r="J1" s="148"/>
      <c r="K1" s="148"/>
      <c r="L1" s="148"/>
      <c r="M1" s="148"/>
      <c r="N1" s="10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6" ht="14.25">
      <c r="A2" s="149"/>
      <c r="B2" s="149"/>
      <c r="C2" s="149"/>
      <c r="D2" s="149"/>
      <c r="E2" s="149"/>
      <c r="F2" s="10"/>
      <c r="G2" s="10"/>
      <c r="H2" s="10"/>
      <c r="I2" s="10"/>
      <c r="J2" s="10"/>
      <c r="K2" s="10"/>
      <c r="L2" s="10"/>
      <c r="M2" s="10"/>
      <c r="N2" s="10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</row>
    <row r="3" spans="1:26" ht="14.25">
      <c r="A3" s="150" t="s">
        <v>185</v>
      </c>
      <c r="B3" s="150" t="s">
        <v>186</v>
      </c>
      <c r="C3" s="151"/>
      <c r="D3" s="151"/>
      <c r="E3" s="151"/>
      <c r="F3" s="152"/>
      <c r="G3" s="152"/>
      <c r="H3" s="152"/>
      <c r="I3" s="152"/>
      <c r="J3" s="152"/>
      <c r="K3" s="152"/>
      <c r="L3" s="152"/>
      <c r="M3" s="152"/>
      <c r="N3" s="10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</row>
    <row r="4" spans="1:26" ht="14.25">
      <c r="A4" s="150" t="s">
        <v>187</v>
      </c>
      <c r="B4" s="150" t="s">
        <v>188</v>
      </c>
      <c r="C4" s="153"/>
      <c r="D4" s="153"/>
      <c r="E4" s="153"/>
      <c r="F4" s="10"/>
      <c r="G4" s="10"/>
      <c r="H4" s="216"/>
      <c r="I4" s="216"/>
      <c r="J4" s="216"/>
      <c r="K4" s="216"/>
      <c r="L4" s="216"/>
      <c r="M4" s="10"/>
      <c r="N4" s="10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</row>
    <row r="5" spans="1:26" ht="14.25">
      <c r="A5" s="153"/>
      <c r="B5" s="153"/>
      <c r="C5" s="153"/>
      <c r="D5" s="153"/>
      <c r="E5" s="153"/>
      <c r="F5" s="10"/>
      <c r="G5" s="10"/>
      <c r="H5" s="227" t="s">
        <v>189</v>
      </c>
      <c r="I5" s="227"/>
      <c r="J5" s="227"/>
      <c r="K5" s="227"/>
      <c r="L5" s="89"/>
      <c r="M5" s="10"/>
      <c r="N5" s="10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</row>
    <row r="6" spans="1:26" ht="14.25">
      <c r="A6" s="108" t="s">
        <v>2</v>
      </c>
      <c r="B6" s="108" t="s">
        <v>190</v>
      </c>
      <c r="C6" s="108" t="s">
        <v>191</v>
      </c>
      <c r="D6" s="108" t="s">
        <v>35</v>
      </c>
      <c r="E6" s="108" t="s">
        <v>6</v>
      </c>
      <c r="F6" s="156" t="s">
        <v>192</v>
      </c>
      <c r="G6" s="157" t="s">
        <v>193</v>
      </c>
      <c r="H6" s="156" t="s">
        <v>194</v>
      </c>
      <c r="I6" s="156" t="s">
        <v>195</v>
      </c>
      <c r="J6" s="156" t="s">
        <v>196</v>
      </c>
      <c r="K6" s="156" t="s">
        <v>197</v>
      </c>
      <c r="L6" s="156" t="s">
        <v>193</v>
      </c>
      <c r="M6" s="156" t="s">
        <v>6</v>
      </c>
      <c r="N6" s="10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26" ht="14.25">
      <c r="A7" s="89" t="s">
        <v>37</v>
      </c>
      <c r="B7" s="89" t="s">
        <v>38</v>
      </c>
      <c r="C7" s="89"/>
      <c r="D7" s="95">
        <f>+'DISTRIBUTIVO SUELDOS Y SALARIOS'!E11</f>
        <v>45276</v>
      </c>
      <c r="E7" s="95">
        <f aca="true" t="shared" si="0" ref="E7:E31">+C7+D7</f>
        <v>45276</v>
      </c>
      <c r="F7" s="95"/>
      <c r="G7" s="158">
        <f aca="true" t="shared" si="1" ref="G7:G31">+E7+F7</f>
        <v>45276</v>
      </c>
      <c r="H7" s="95"/>
      <c r="I7" s="95"/>
      <c r="J7" s="95"/>
      <c r="K7" s="95">
        <v>45205.22</v>
      </c>
      <c r="L7" s="95">
        <f aca="true" t="shared" si="2" ref="L7:L31">+H7+I7+J7+K7</f>
        <v>45205.22</v>
      </c>
      <c r="M7" s="95">
        <f aca="true" t="shared" si="3" ref="M7:M31">+G7-L7</f>
        <v>70.77999999999884</v>
      </c>
      <c r="N7" s="10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ht="14.25">
      <c r="A8" s="89" t="s">
        <v>39</v>
      </c>
      <c r="B8" s="89" t="s">
        <v>40</v>
      </c>
      <c r="C8" s="89"/>
      <c r="D8" s="95">
        <f>+'DISTRIBUTIVO SUELDOS Y SALARIOS'!F11</f>
        <v>3773</v>
      </c>
      <c r="E8" s="95">
        <f t="shared" si="0"/>
        <v>3773</v>
      </c>
      <c r="F8" s="205">
        <v>211.07</v>
      </c>
      <c r="G8" s="158">
        <f t="shared" si="1"/>
        <v>3984.07</v>
      </c>
      <c r="H8" s="95"/>
      <c r="I8" s="95"/>
      <c r="J8" s="95"/>
      <c r="K8" s="95">
        <v>3758.66</v>
      </c>
      <c r="L8" s="95">
        <f t="shared" si="2"/>
        <v>3758.66</v>
      </c>
      <c r="M8" s="95">
        <f t="shared" si="3"/>
        <v>225.4100000000003</v>
      </c>
      <c r="N8" s="10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1:26" ht="14.25">
      <c r="A9" s="89" t="s">
        <v>41</v>
      </c>
      <c r="B9" s="89" t="s">
        <v>42</v>
      </c>
      <c r="C9" s="89"/>
      <c r="D9" s="95">
        <f>+'DISTRIBUTIVO SUELDOS Y SALARIOS'!G11</f>
        <v>2550</v>
      </c>
      <c r="E9" s="95">
        <f t="shared" si="0"/>
        <v>2550</v>
      </c>
      <c r="F9" s="95"/>
      <c r="G9" s="158">
        <f t="shared" si="1"/>
        <v>2550</v>
      </c>
      <c r="H9" s="95"/>
      <c r="I9" s="95"/>
      <c r="J9" s="95"/>
      <c r="K9" s="95">
        <v>2427.16</v>
      </c>
      <c r="L9" s="95">
        <f t="shared" si="2"/>
        <v>2427.16</v>
      </c>
      <c r="M9" s="95">
        <f t="shared" si="3"/>
        <v>122.84000000000015</v>
      </c>
      <c r="N9" s="10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</row>
    <row r="10" spans="1:26" ht="14.25">
      <c r="A10" s="89" t="s">
        <v>43</v>
      </c>
      <c r="B10" s="89" t="s">
        <v>44</v>
      </c>
      <c r="C10" s="89"/>
      <c r="D10" s="95">
        <f>+'DISTRIBUTIVO SUELDOS Y SALARIOS'!I11</f>
        <v>5048.273999999999</v>
      </c>
      <c r="E10" s="95">
        <f t="shared" si="0"/>
        <v>5048.273999999999</v>
      </c>
      <c r="F10" s="95">
        <v>47</v>
      </c>
      <c r="G10" s="158">
        <f t="shared" si="1"/>
        <v>5095.273999999999</v>
      </c>
      <c r="H10" s="95"/>
      <c r="I10" s="95"/>
      <c r="J10" s="95"/>
      <c r="K10" s="95">
        <v>5094.92</v>
      </c>
      <c r="L10" s="95">
        <f t="shared" si="2"/>
        <v>5094.92</v>
      </c>
      <c r="M10" s="95">
        <f t="shared" si="3"/>
        <v>0.3539999999993597</v>
      </c>
      <c r="N10" s="10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14.25">
      <c r="A11" s="89" t="s">
        <v>45</v>
      </c>
      <c r="B11" s="89" t="s">
        <v>46</v>
      </c>
      <c r="C11" s="89"/>
      <c r="D11" s="95">
        <f>+'DISTRIBUTIVO SUELDOS Y SALARIOS'!H11</f>
        <v>3773</v>
      </c>
      <c r="E11" s="95">
        <f t="shared" si="0"/>
        <v>3773</v>
      </c>
      <c r="F11" s="95"/>
      <c r="G11" s="158">
        <f t="shared" si="1"/>
        <v>3773</v>
      </c>
      <c r="H11" s="95"/>
      <c r="I11" s="95"/>
      <c r="J11" s="95"/>
      <c r="K11" s="95">
        <v>3260</v>
      </c>
      <c r="L11" s="95">
        <f t="shared" si="2"/>
        <v>3260</v>
      </c>
      <c r="M11" s="95">
        <f t="shared" si="3"/>
        <v>513</v>
      </c>
      <c r="N11" s="10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14.25">
      <c r="A12" s="89" t="s">
        <v>47</v>
      </c>
      <c r="B12" s="89" t="s">
        <v>48</v>
      </c>
      <c r="C12" s="89"/>
      <c r="D12" s="95">
        <v>0.01</v>
      </c>
      <c r="E12" s="95">
        <f t="shared" si="0"/>
        <v>0.01</v>
      </c>
      <c r="F12" s="95">
        <v>2680</v>
      </c>
      <c r="G12" s="158">
        <f t="shared" si="1"/>
        <v>2680.01</v>
      </c>
      <c r="H12" s="95"/>
      <c r="I12" s="95"/>
      <c r="J12" s="95"/>
      <c r="K12" s="95">
        <v>2680</v>
      </c>
      <c r="L12" s="95">
        <f t="shared" si="2"/>
        <v>2680</v>
      </c>
      <c r="M12" s="95">
        <f t="shared" si="3"/>
        <v>0.010000000000218279</v>
      </c>
      <c r="N12" s="10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</row>
    <row r="13" spans="1:26" ht="14.25">
      <c r="A13" s="89" t="s">
        <v>49</v>
      </c>
      <c r="B13" s="89" t="s">
        <v>50</v>
      </c>
      <c r="C13" s="89"/>
      <c r="D13" s="95">
        <v>100</v>
      </c>
      <c r="E13" s="95">
        <f t="shared" si="0"/>
        <v>100</v>
      </c>
      <c r="F13" s="95"/>
      <c r="G13" s="158">
        <f t="shared" si="1"/>
        <v>100</v>
      </c>
      <c r="H13" s="95"/>
      <c r="I13" s="95"/>
      <c r="J13" s="95"/>
      <c r="K13" s="95">
        <v>73.2</v>
      </c>
      <c r="L13" s="95">
        <f t="shared" si="2"/>
        <v>73.2</v>
      </c>
      <c r="M13" s="95">
        <f t="shared" si="3"/>
        <v>26.799999999999997</v>
      </c>
      <c r="N13" s="10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</row>
    <row r="14" spans="1:26" ht="14.25">
      <c r="A14" s="197" t="s">
        <v>51</v>
      </c>
      <c r="B14" s="89" t="s">
        <v>198</v>
      </c>
      <c r="C14" s="89"/>
      <c r="D14" s="95">
        <v>100</v>
      </c>
      <c r="E14" s="95">
        <f t="shared" si="0"/>
        <v>100</v>
      </c>
      <c r="F14" s="95"/>
      <c r="G14" s="158">
        <f t="shared" si="1"/>
        <v>100</v>
      </c>
      <c r="H14" s="95"/>
      <c r="I14" s="95"/>
      <c r="J14" s="95"/>
      <c r="K14" s="95">
        <v>60</v>
      </c>
      <c r="L14" s="95">
        <f t="shared" si="2"/>
        <v>60</v>
      </c>
      <c r="M14" s="95">
        <f t="shared" si="3"/>
        <v>40</v>
      </c>
      <c r="N14" s="10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</row>
    <row r="15" spans="1:26" ht="14.25">
      <c r="A15" s="89" t="s">
        <v>52</v>
      </c>
      <c r="B15" s="89" t="s">
        <v>53</v>
      </c>
      <c r="C15" s="89"/>
      <c r="D15" s="95">
        <v>620</v>
      </c>
      <c r="E15" s="95">
        <f t="shared" si="0"/>
        <v>620</v>
      </c>
      <c r="F15" s="95">
        <f>1500-47-117</f>
        <v>1336</v>
      </c>
      <c r="G15" s="158">
        <f t="shared" si="1"/>
        <v>1956</v>
      </c>
      <c r="H15" s="95"/>
      <c r="I15" s="95"/>
      <c r="J15" s="95"/>
      <c r="K15" s="95">
        <v>768.1</v>
      </c>
      <c r="L15" s="95">
        <f t="shared" si="2"/>
        <v>768.1</v>
      </c>
      <c r="M15" s="95">
        <f t="shared" si="3"/>
        <v>1187.9</v>
      </c>
      <c r="N15" s="10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ht="14.25">
      <c r="A16" s="89" t="s">
        <v>54</v>
      </c>
      <c r="B16" s="89" t="s">
        <v>199</v>
      </c>
      <c r="C16" s="95">
        <f>+D16*0</f>
        <v>0</v>
      </c>
      <c r="D16" s="95">
        <f>30*12</f>
        <v>360</v>
      </c>
      <c r="E16" s="95">
        <f t="shared" si="0"/>
        <v>360</v>
      </c>
      <c r="F16" s="95"/>
      <c r="G16" s="158">
        <f t="shared" si="1"/>
        <v>360</v>
      </c>
      <c r="H16" s="95"/>
      <c r="I16" s="95"/>
      <c r="J16" s="95"/>
      <c r="K16" s="95">
        <v>156.44</v>
      </c>
      <c r="L16" s="95">
        <f t="shared" si="2"/>
        <v>156.44</v>
      </c>
      <c r="M16" s="95">
        <f t="shared" si="3"/>
        <v>203.56</v>
      </c>
      <c r="N16" s="10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</row>
    <row r="17" spans="1:26" ht="14.25">
      <c r="A17" s="197" t="s">
        <v>56</v>
      </c>
      <c r="B17" s="89" t="s">
        <v>200</v>
      </c>
      <c r="C17" s="95">
        <f>+D17*0</f>
        <v>0</v>
      </c>
      <c r="D17" s="95">
        <v>1400</v>
      </c>
      <c r="E17" s="95">
        <f t="shared" si="0"/>
        <v>1400</v>
      </c>
      <c r="F17" s="95">
        <v>-500</v>
      </c>
      <c r="G17" s="158">
        <f t="shared" si="1"/>
        <v>900</v>
      </c>
      <c r="H17" s="95"/>
      <c r="I17" s="95"/>
      <c r="J17" s="95"/>
      <c r="K17" s="95">
        <v>890</v>
      </c>
      <c r="L17" s="95">
        <f t="shared" si="2"/>
        <v>890</v>
      </c>
      <c r="M17" s="95">
        <f t="shared" si="3"/>
        <v>10</v>
      </c>
      <c r="N17" s="10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ht="14.25">
      <c r="A18" s="197" t="s">
        <v>58</v>
      </c>
      <c r="B18" s="89" t="s">
        <v>59</v>
      </c>
      <c r="C18" s="95">
        <f>+D18*0</f>
        <v>0</v>
      </c>
      <c r="D18" s="95">
        <v>3000</v>
      </c>
      <c r="E18" s="95">
        <f t="shared" si="0"/>
        <v>3000</v>
      </c>
      <c r="F18" s="95"/>
      <c r="G18" s="158">
        <f t="shared" si="1"/>
        <v>3000</v>
      </c>
      <c r="H18" s="95"/>
      <c r="I18" s="95"/>
      <c r="J18" s="95"/>
      <c r="K18" s="95">
        <v>3000</v>
      </c>
      <c r="L18" s="95">
        <f t="shared" si="2"/>
        <v>3000</v>
      </c>
      <c r="M18" s="95">
        <f t="shared" si="3"/>
        <v>0</v>
      </c>
      <c r="N18" s="10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ht="14.25">
      <c r="A19" s="89" t="s">
        <v>60</v>
      </c>
      <c r="B19" s="89" t="s">
        <v>61</v>
      </c>
      <c r="C19" s="95"/>
      <c r="D19" s="95">
        <v>300</v>
      </c>
      <c r="E19" s="95">
        <f t="shared" si="0"/>
        <v>300</v>
      </c>
      <c r="F19" s="95">
        <v>-281</v>
      </c>
      <c r="G19" s="158">
        <f t="shared" si="1"/>
        <v>19</v>
      </c>
      <c r="H19" s="95"/>
      <c r="I19" s="95"/>
      <c r="J19" s="95"/>
      <c r="K19" s="95"/>
      <c r="L19" s="95">
        <f t="shared" si="2"/>
        <v>0</v>
      </c>
      <c r="M19" s="95">
        <f t="shared" si="3"/>
        <v>19</v>
      </c>
      <c r="N19" s="10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ht="14.25">
      <c r="A20" s="89" t="s">
        <v>62</v>
      </c>
      <c r="B20" s="89" t="s">
        <v>63</v>
      </c>
      <c r="C20" s="95"/>
      <c r="D20" s="95">
        <v>120</v>
      </c>
      <c r="E20" s="95">
        <f t="shared" si="0"/>
        <v>120</v>
      </c>
      <c r="F20" s="95"/>
      <c r="G20" s="158">
        <f t="shared" si="1"/>
        <v>120</v>
      </c>
      <c r="H20" s="95"/>
      <c r="I20" s="95"/>
      <c r="J20" s="95"/>
      <c r="K20" s="95"/>
      <c r="L20" s="95">
        <f t="shared" si="2"/>
        <v>0</v>
      </c>
      <c r="M20" s="95">
        <f t="shared" si="3"/>
        <v>120</v>
      </c>
      <c r="N20" s="10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ht="14.25">
      <c r="A21" s="197" t="s">
        <v>64</v>
      </c>
      <c r="B21" s="89" t="s">
        <v>201</v>
      </c>
      <c r="C21" s="95">
        <f>+D21*0</f>
        <v>0</v>
      </c>
      <c r="D21" s="95">
        <v>1600</v>
      </c>
      <c r="E21" s="95">
        <f t="shared" si="0"/>
        <v>1600</v>
      </c>
      <c r="F21" s="95">
        <v>-1599</v>
      </c>
      <c r="G21" s="158">
        <f t="shared" si="1"/>
        <v>1</v>
      </c>
      <c r="H21" s="95"/>
      <c r="I21" s="95"/>
      <c r="J21" s="95"/>
      <c r="K21" s="95"/>
      <c r="L21" s="95">
        <f t="shared" si="2"/>
        <v>0</v>
      </c>
      <c r="M21" s="95">
        <f t="shared" si="3"/>
        <v>1</v>
      </c>
      <c r="N21" s="10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14.25">
      <c r="A22" s="197" t="s">
        <v>66</v>
      </c>
      <c r="B22" s="89" t="s">
        <v>202</v>
      </c>
      <c r="C22" s="95">
        <f>+D22*0</f>
        <v>0</v>
      </c>
      <c r="D22" s="95">
        <f>250+280</f>
        <v>530</v>
      </c>
      <c r="E22" s="95">
        <f t="shared" si="0"/>
        <v>530</v>
      </c>
      <c r="F22" s="95"/>
      <c r="G22" s="158">
        <f t="shared" si="1"/>
        <v>530</v>
      </c>
      <c r="H22" s="95"/>
      <c r="I22" s="95"/>
      <c r="J22" s="95"/>
      <c r="K22" s="95">
        <v>500</v>
      </c>
      <c r="L22" s="95">
        <f t="shared" si="2"/>
        <v>500</v>
      </c>
      <c r="M22" s="95">
        <f t="shared" si="3"/>
        <v>30</v>
      </c>
      <c r="N22" s="10" t="s">
        <v>203</v>
      </c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14.25">
      <c r="A23" s="89" t="s">
        <v>67</v>
      </c>
      <c r="B23" s="89" t="s">
        <v>68</v>
      </c>
      <c r="C23" s="95">
        <f>+D23*0</f>
        <v>0</v>
      </c>
      <c r="D23" s="95">
        <v>500</v>
      </c>
      <c r="E23" s="95">
        <f t="shared" si="0"/>
        <v>500</v>
      </c>
      <c r="F23" s="95">
        <v>-300</v>
      </c>
      <c r="G23" s="158">
        <f t="shared" si="1"/>
        <v>200</v>
      </c>
      <c r="H23" s="95"/>
      <c r="I23" s="95"/>
      <c r="J23" s="95"/>
      <c r="K23" s="95">
        <v>154.57</v>
      </c>
      <c r="L23" s="95">
        <f t="shared" si="2"/>
        <v>154.57</v>
      </c>
      <c r="M23" s="95">
        <f t="shared" si="3"/>
        <v>45.43000000000001</v>
      </c>
      <c r="N23" s="10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ht="14.25">
      <c r="A24" s="89" t="s">
        <v>69</v>
      </c>
      <c r="B24" s="89" t="s">
        <v>70</v>
      </c>
      <c r="C24" s="95">
        <f>+D24*0</f>
        <v>0</v>
      </c>
      <c r="D24" s="95">
        <v>400</v>
      </c>
      <c r="E24" s="95">
        <f t="shared" si="0"/>
        <v>400</v>
      </c>
      <c r="F24" s="95"/>
      <c r="G24" s="158">
        <f t="shared" si="1"/>
        <v>400</v>
      </c>
      <c r="H24" s="95"/>
      <c r="I24" s="95"/>
      <c r="J24" s="95"/>
      <c r="K24" s="95">
        <v>75.99</v>
      </c>
      <c r="L24" s="95">
        <f t="shared" si="2"/>
        <v>75.99</v>
      </c>
      <c r="M24" s="95">
        <f t="shared" si="3"/>
        <v>324.01</v>
      </c>
      <c r="N24" s="10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ht="14.25">
      <c r="A25" s="89" t="s">
        <v>71</v>
      </c>
      <c r="B25" s="89" t="s">
        <v>72</v>
      </c>
      <c r="C25" s="95">
        <f>+D25*0</f>
        <v>0</v>
      </c>
      <c r="D25" s="95">
        <v>109.7</v>
      </c>
      <c r="E25" s="95">
        <f t="shared" si="0"/>
        <v>109.7</v>
      </c>
      <c r="F25" s="95"/>
      <c r="G25" s="158">
        <f t="shared" si="1"/>
        <v>109.7</v>
      </c>
      <c r="H25" s="95"/>
      <c r="I25" s="95"/>
      <c r="J25" s="95"/>
      <c r="K25" s="95"/>
      <c r="L25" s="95">
        <f t="shared" si="2"/>
        <v>0</v>
      </c>
      <c r="M25" s="95">
        <f t="shared" si="3"/>
        <v>109.7</v>
      </c>
      <c r="N25" s="10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ht="14.25">
      <c r="A26" s="89" t="s">
        <v>73</v>
      </c>
      <c r="B26" s="89" t="s">
        <v>74</v>
      </c>
      <c r="C26" s="95"/>
      <c r="D26" s="95">
        <v>0.01</v>
      </c>
      <c r="E26" s="95">
        <f t="shared" si="0"/>
        <v>0.01</v>
      </c>
      <c r="F26" s="95">
        <f>+REFORMAS!C8</f>
        <v>2205</v>
      </c>
      <c r="G26" s="158">
        <f t="shared" si="1"/>
        <v>2205.01</v>
      </c>
      <c r="H26" s="95"/>
      <c r="I26" s="95"/>
      <c r="J26" s="95"/>
      <c r="K26" s="95">
        <v>913.51</v>
      </c>
      <c r="L26" s="95">
        <f t="shared" si="2"/>
        <v>913.51</v>
      </c>
      <c r="M26" s="95">
        <f t="shared" si="3"/>
        <v>1291.5000000000002</v>
      </c>
      <c r="N26" s="10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ht="14.25">
      <c r="A27" s="89" t="s">
        <v>75</v>
      </c>
      <c r="B27" s="89" t="s">
        <v>76</v>
      </c>
      <c r="C27" s="95"/>
      <c r="D27" s="95">
        <v>0.01</v>
      </c>
      <c r="E27" s="95">
        <f t="shared" si="0"/>
        <v>0.01</v>
      </c>
      <c r="F27" s="95"/>
      <c r="G27" s="158">
        <f t="shared" si="1"/>
        <v>0.01</v>
      </c>
      <c r="H27" s="95"/>
      <c r="I27" s="95"/>
      <c r="J27" s="95"/>
      <c r="K27" s="95"/>
      <c r="L27" s="95">
        <f t="shared" si="2"/>
        <v>0</v>
      </c>
      <c r="M27" s="95">
        <f t="shared" si="3"/>
        <v>0.01</v>
      </c>
      <c r="N27" s="10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ht="14.25">
      <c r="A28" s="197" t="s">
        <v>77</v>
      </c>
      <c r="B28" s="89" t="s">
        <v>78</v>
      </c>
      <c r="C28" s="95">
        <f>+D28*0</f>
        <v>0</v>
      </c>
      <c r="D28" s="95">
        <v>1600</v>
      </c>
      <c r="E28" s="95">
        <f t="shared" si="0"/>
        <v>1600</v>
      </c>
      <c r="F28" s="95"/>
      <c r="G28" s="158">
        <f t="shared" si="1"/>
        <v>1600</v>
      </c>
      <c r="H28" s="95"/>
      <c r="I28" s="95"/>
      <c r="J28" s="95"/>
      <c r="K28" s="95"/>
      <c r="L28" s="95">
        <f t="shared" si="2"/>
        <v>0</v>
      </c>
      <c r="M28" s="95">
        <f t="shared" si="3"/>
        <v>1600</v>
      </c>
      <c r="N28" s="10" t="s">
        <v>204</v>
      </c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ht="14.25">
      <c r="A29" s="89" t="s">
        <v>79</v>
      </c>
      <c r="B29" s="89" t="s">
        <v>80</v>
      </c>
      <c r="C29" s="89"/>
      <c r="D29" s="95">
        <v>70</v>
      </c>
      <c r="E29" s="95">
        <f t="shared" si="0"/>
        <v>70</v>
      </c>
      <c r="F29" s="205">
        <v>254.93</v>
      </c>
      <c r="G29" s="158">
        <f t="shared" si="1"/>
        <v>324.93</v>
      </c>
      <c r="H29" s="95"/>
      <c r="I29" s="95"/>
      <c r="J29" s="95"/>
      <c r="K29" s="95">
        <v>75.43</v>
      </c>
      <c r="L29" s="95">
        <f t="shared" si="2"/>
        <v>75.43</v>
      </c>
      <c r="M29" s="95">
        <f t="shared" si="3"/>
        <v>249.5</v>
      </c>
      <c r="N29" s="10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ht="14.25">
      <c r="A30" s="197" t="s">
        <v>81</v>
      </c>
      <c r="B30" s="89" t="s">
        <v>82</v>
      </c>
      <c r="C30" s="89"/>
      <c r="D30" s="95">
        <v>5700</v>
      </c>
      <c r="E30" s="95">
        <f t="shared" si="0"/>
        <v>5700</v>
      </c>
      <c r="F30" s="205">
        <f>110+583</f>
        <v>693</v>
      </c>
      <c r="G30" s="158">
        <f t="shared" si="1"/>
        <v>6393</v>
      </c>
      <c r="H30" s="95"/>
      <c r="I30" s="95"/>
      <c r="J30" s="95"/>
      <c r="K30" s="95">
        <v>6392.84</v>
      </c>
      <c r="L30" s="95">
        <f t="shared" si="2"/>
        <v>6392.84</v>
      </c>
      <c r="M30" s="95">
        <f t="shared" si="3"/>
        <v>0.15999999999985448</v>
      </c>
      <c r="N30" s="10"/>
      <c r="O30" s="166"/>
      <c r="P30" s="166">
        <f>109.84+6.9</f>
        <v>116.74000000000001</v>
      </c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ht="14.25">
      <c r="A31" s="89" t="s">
        <v>83</v>
      </c>
      <c r="B31" s="89" t="s">
        <v>84</v>
      </c>
      <c r="C31" s="89"/>
      <c r="D31" s="95">
        <v>320</v>
      </c>
      <c r="E31" s="95">
        <f t="shared" si="0"/>
        <v>320</v>
      </c>
      <c r="F31" s="95">
        <v>7</v>
      </c>
      <c r="G31" s="158">
        <f t="shared" si="1"/>
        <v>327</v>
      </c>
      <c r="H31" s="95"/>
      <c r="I31" s="95"/>
      <c r="J31" s="95"/>
      <c r="K31" s="95">
        <v>326.9</v>
      </c>
      <c r="L31" s="95">
        <f t="shared" si="2"/>
        <v>326.9</v>
      </c>
      <c r="M31" s="95">
        <f t="shared" si="3"/>
        <v>0.10000000000002274</v>
      </c>
      <c r="N31" s="10"/>
      <c r="O31" s="166"/>
      <c r="P31" s="166">
        <f>7+110</f>
        <v>117</v>
      </c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ht="14.25">
      <c r="A32" s="10"/>
      <c r="B32" s="89" t="s">
        <v>6</v>
      </c>
      <c r="C32" s="159">
        <f aca="true" t="shared" si="4" ref="C32:K32">SUM(C7:C31)</f>
        <v>0</v>
      </c>
      <c r="D32" s="159">
        <f t="shared" si="4"/>
        <v>77250.00399999999</v>
      </c>
      <c r="E32" s="159">
        <f t="shared" si="4"/>
        <v>77250.00399999999</v>
      </c>
      <c r="F32" s="159">
        <f t="shared" si="4"/>
        <v>4754</v>
      </c>
      <c r="G32" s="160">
        <f t="shared" si="4"/>
        <v>82004.00399999997</v>
      </c>
      <c r="H32" s="160">
        <f t="shared" si="4"/>
        <v>0</v>
      </c>
      <c r="I32" s="160">
        <f t="shared" si="4"/>
        <v>0</v>
      </c>
      <c r="J32" s="160">
        <f t="shared" si="4"/>
        <v>0</v>
      </c>
      <c r="K32" s="160">
        <f t="shared" si="4"/>
        <v>75812.94</v>
      </c>
      <c r="L32" s="95">
        <f aca="true" t="shared" si="5" ref="L32">+H32+I32+J32+K32</f>
        <v>75812.94</v>
      </c>
      <c r="M32" s="95">
        <f aca="true" t="shared" si="6" ref="M32">+G32-L32</f>
        <v>6191.063999999969</v>
      </c>
      <c r="N32" s="10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ht="14.25">
      <c r="A34" s="10"/>
      <c r="B34" s="10"/>
      <c r="C34" s="10"/>
      <c r="D34" s="10"/>
      <c r="E34" s="53"/>
      <c r="F34" s="10"/>
      <c r="G34" s="10"/>
      <c r="H34" s="10"/>
      <c r="I34" s="10"/>
      <c r="J34" s="10"/>
      <c r="K34" s="10"/>
      <c r="L34" s="10"/>
      <c r="M34" s="10"/>
      <c r="N34" s="10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66"/>
      <c r="P35" s="166"/>
      <c r="Q35" s="167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ht="14.25">
      <c r="A36" s="228" t="s">
        <v>205</v>
      </c>
      <c r="B36" s="228"/>
      <c r="C36" s="228"/>
      <c r="D36" s="228"/>
      <c r="E36" s="228"/>
      <c r="F36" s="10"/>
      <c r="G36" s="53"/>
      <c r="H36" s="10"/>
      <c r="I36" s="10"/>
      <c r="J36" s="10"/>
      <c r="K36" s="10"/>
      <c r="L36" s="10"/>
      <c r="M36" s="10"/>
      <c r="N36" s="10"/>
      <c r="O36" s="166"/>
      <c r="P36" s="166"/>
      <c r="Q36" s="167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ht="14.25">
      <c r="A37" s="228" t="s">
        <v>206</v>
      </c>
      <c r="B37" s="228"/>
      <c r="C37" s="228"/>
      <c r="D37" s="228"/>
      <c r="E37" s="228"/>
      <c r="F37" s="53"/>
      <c r="G37" s="10"/>
      <c r="H37" s="10"/>
      <c r="I37" s="10"/>
      <c r="J37" s="10"/>
      <c r="K37" s="10"/>
      <c r="L37" s="10"/>
      <c r="M37" s="10"/>
      <c r="N37" s="10"/>
      <c r="O37" s="166"/>
      <c r="P37" s="166"/>
      <c r="Q37" s="167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ht="14.25">
      <c r="A39" s="150" t="s">
        <v>207</v>
      </c>
      <c r="B39" s="150" t="s">
        <v>208</v>
      </c>
      <c r="C39" s="161"/>
      <c r="D39" s="161"/>
      <c r="E39" s="161"/>
      <c r="F39" s="10"/>
      <c r="G39" s="10"/>
      <c r="H39" s="10"/>
      <c r="I39" s="10"/>
      <c r="J39" s="10"/>
      <c r="K39" s="10"/>
      <c r="L39" s="10"/>
      <c r="M39" s="10"/>
      <c r="N39" s="10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ht="14.25">
      <c r="A40" s="150" t="s">
        <v>209</v>
      </c>
      <c r="B40" s="150" t="s">
        <v>210</v>
      </c>
      <c r="C40" s="162"/>
      <c r="D40" s="161"/>
      <c r="E40" s="161"/>
      <c r="F40" s="10"/>
      <c r="G40" s="10"/>
      <c r="H40" s="10"/>
      <c r="I40" s="10"/>
      <c r="J40" s="10"/>
      <c r="K40" s="10"/>
      <c r="L40" s="10"/>
      <c r="M40" s="10"/>
      <c r="N40" s="10"/>
      <c r="O40" s="166"/>
      <c r="P40" s="166"/>
      <c r="Q40" s="166"/>
      <c r="R40" s="166"/>
      <c r="S40" s="166"/>
      <c r="T40" s="166">
        <f>1162.8+1211.82</f>
        <v>2374.62</v>
      </c>
      <c r="U40" s="166"/>
      <c r="V40" s="166"/>
      <c r="W40" s="166"/>
      <c r="X40" s="166"/>
      <c r="Y40" s="166"/>
      <c r="Z40" s="166"/>
    </row>
    <row r="41" spans="1:26" ht="14.25">
      <c r="A41" s="163"/>
      <c r="B41" s="163"/>
      <c r="C41" s="161"/>
      <c r="D41" s="161"/>
      <c r="E41" s="161"/>
      <c r="F41" s="10"/>
      <c r="G41" s="10"/>
      <c r="H41" s="227" t="s">
        <v>36</v>
      </c>
      <c r="I41" s="227"/>
      <c r="J41" s="227"/>
      <c r="K41" s="227"/>
      <c r="L41" s="227"/>
      <c r="M41" s="10"/>
      <c r="N41" s="10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</row>
    <row r="42" spans="1:26" ht="14.25">
      <c r="A42" s="108" t="s">
        <v>2</v>
      </c>
      <c r="B42" s="108" t="s">
        <v>211</v>
      </c>
      <c r="C42" s="108" t="s">
        <v>34</v>
      </c>
      <c r="D42" s="108" t="s">
        <v>212</v>
      </c>
      <c r="E42" s="108" t="s">
        <v>213</v>
      </c>
      <c r="F42" s="156" t="s">
        <v>5</v>
      </c>
      <c r="G42" s="156" t="s">
        <v>6</v>
      </c>
      <c r="H42" s="156" t="s">
        <v>214</v>
      </c>
      <c r="I42" s="156" t="s">
        <v>215</v>
      </c>
      <c r="J42" s="156" t="s">
        <v>216</v>
      </c>
      <c r="K42" s="156" t="s">
        <v>217</v>
      </c>
      <c r="L42" s="156" t="s">
        <v>6</v>
      </c>
      <c r="M42" s="156" t="s">
        <v>6</v>
      </c>
      <c r="N42" s="10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6" ht="14.25">
      <c r="A43" s="89" t="s">
        <v>98</v>
      </c>
      <c r="B43" s="89" t="s">
        <v>218</v>
      </c>
      <c r="C43" s="95">
        <f>+D43*0</f>
        <v>0</v>
      </c>
      <c r="D43" s="95">
        <v>0.01</v>
      </c>
      <c r="E43" s="95">
        <f aca="true" t="shared" si="7" ref="E43:E59">+C43+D43</f>
        <v>0.01</v>
      </c>
      <c r="F43" s="95">
        <v>1045</v>
      </c>
      <c r="G43" s="95">
        <f aca="true" t="shared" si="8" ref="G43:G59">E43+F43</f>
        <v>1045.01</v>
      </c>
      <c r="H43" s="95"/>
      <c r="I43" s="95"/>
      <c r="J43" s="95"/>
      <c r="K43" s="95">
        <f>1045+900</f>
        <v>1945</v>
      </c>
      <c r="L43" s="95">
        <f aca="true" t="shared" si="9" ref="L43:L59">+H43+I43+J43+K43</f>
        <v>1945</v>
      </c>
      <c r="M43" s="95">
        <f aca="true" t="shared" si="10" ref="M43:M59">+G43-L43</f>
        <v>-899.99</v>
      </c>
      <c r="N43" s="10" t="s">
        <v>219</v>
      </c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</row>
    <row r="44" spans="1:26" ht="14.25">
      <c r="A44" s="197" t="s">
        <v>100</v>
      </c>
      <c r="B44" s="89" t="s">
        <v>59</v>
      </c>
      <c r="C44" s="95">
        <f>+D44*0</f>
        <v>0</v>
      </c>
      <c r="D44" s="95">
        <v>5000</v>
      </c>
      <c r="E44" s="95">
        <f t="shared" si="7"/>
        <v>5000</v>
      </c>
      <c r="F44" s="95">
        <f>199-1200+2450+1162.8</f>
        <v>2611.8</v>
      </c>
      <c r="G44" s="95">
        <f t="shared" si="8"/>
        <v>7611.8</v>
      </c>
      <c r="H44" s="95"/>
      <c r="I44" s="95">
        <v>3950.1</v>
      </c>
      <c r="J44" s="95"/>
      <c r="K44" s="95">
        <v>3661.7</v>
      </c>
      <c r="L44" s="95">
        <f t="shared" si="9"/>
        <v>7611.799999999999</v>
      </c>
      <c r="M44" s="95">
        <f t="shared" si="10"/>
        <v>0</v>
      </c>
      <c r="N44" s="10" t="s">
        <v>220</v>
      </c>
      <c r="O44" s="166"/>
      <c r="P44" s="166"/>
      <c r="Q44" s="166"/>
      <c r="R44" s="166"/>
      <c r="S44" s="202"/>
      <c r="T44" s="166"/>
      <c r="U44" s="166"/>
      <c r="V44" s="166"/>
      <c r="W44" s="166"/>
      <c r="X44" s="166"/>
      <c r="Y44" s="166"/>
      <c r="Z44" s="166"/>
    </row>
    <row r="45" spans="1:26" ht="14.25">
      <c r="A45" s="197" t="s">
        <v>104</v>
      </c>
      <c r="B45" s="89" t="s">
        <v>221</v>
      </c>
      <c r="C45" s="95">
        <v>0</v>
      </c>
      <c r="D45" s="95">
        <v>0</v>
      </c>
      <c r="E45" s="95">
        <f t="shared" si="7"/>
        <v>0</v>
      </c>
      <c r="F45" s="95">
        <f>+REFORMAS!C33</f>
        <v>1200</v>
      </c>
      <c r="G45" s="95">
        <f t="shared" si="8"/>
        <v>1200</v>
      </c>
      <c r="H45" s="95"/>
      <c r="I45" s="95"/>
      <c r="J45" s="95">
        <v>1149.17</v>
      </c>
      <c r="K45" s="95">
        <v>0</v>
      </c>
      <c r="L45" s="95">
        <f t="shared" si="9"/>
        <v>1149.17</v>
      </c>
      <c r="M45" s="95">
        <f t="shared" si="10"/>
        <v>50.82999999999993</v>
      </c>
      <c r="N45" s="10"/>
      <c r="O45" s="166"/>
      <c r="P45" s="166"/>
      <c r="Q45" s="202"/>
      <c r="R45" s="166"/>
      <c r="S45" s="202"/>
      <c r="T45" s="166"/>
      <c r="U45" s="166"/>
      <c r="V45" s="166"/>
      <c r="W45" s="166"/>
      <c r="X45" s="166"/>
      <c r="Y45" s="166"/>
      <c r="Z45" s="166"/>
    </row>
    <row r="46" spans="1:26" ht="14.25">
      <c r="A46" s="89" t="s">
        <v>117</v>
      </c>
      <c r="B46" s="89" t="s">
        <v>222</v>
      </c>
      <c r="C46" s="95"/>
      <c r="D46" s="95">
        <v>1000</v>
      </c>
      <c r="E46" s="95">
        <f t="shared" si="7"/>
        <v>1000</v>
      </c>
      <c r="F46" s="95">
        <f>+REFORMAS!C30</f>
        <v>1500</v>
      </c>
      <c r="G46" s="95">
        <f t="shared" si="8"/>
        <v>2500</v>
      </c>
      <c r="H46" s="95"/>
      <c r="I46" s="95"/>
      <c r="J46" s="95">
        <v>2210</v>
      </c>
      <c r="K46" s="95">
        <v>0</v>
      </c>
      <c r="L46" s="95">
        <f t="shared" si="9"/>
        <v>2210</v>
      </c>
      <c r="M46" s="95">
        <f t="shared" si="10"/>
        <v>290</v>
      </c>
      <c r="N46" s="10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</row>
    <row r="47" spans="1:26" ht="14.25">
      <c r="A47" s="89" t="s">
        <v>123</v>
      </c>
      <c r="B47" s="89" t="s">
        <v>223</v>
      </c>
      <c r="C47" s="95">
        <f aca="true" t="shared" si="11" ref="C47:C59">+D47*0</f>
        <v>0</v>
      </c>
      <c r="D47" s="95">
        <f>+'DISTRIBUTIVO SUELDOS Y SALARIOS'!G84+'DISTRIBUTIVO SUELDOS Y SALARIOS'!G91</f>
        <v>11461.408</v>
      </c>
      <c r="E47" s="95">
        <f t="shared" si="7"/>
        <v>11461.408</v>
      </c>
      <c r="F47" s="201">
        <f>-REFORMAS!D25+REFORMAS!C38+2000-2374.62</f>
        <v>2489.4100000000008</v>
      </c>
      <c r="G47" s="95">
        <f t="shared" si="8"/>
        <v>13950.818</v>
      </c>
      <c r="H47" s="95">
        <v>888.9</v>
      </c>
      <c r="I47" s="95">
        <v>1333.35</v>
      </c>
      <c r="J47" s="95">
        <v>2666.69</v>
      </c>
      <c r="K47" s="95">
        <v>5077.8</v>
      </c>
      <c r="L47" s="95">
        <v>10666.74</v>
      </c>
      <c r="M47" s="95">
        <f t="shared" si="10"/>
        <v>3284.0779999999995</v>
      </c>
      <c r="N47" s="10" t="s">
        <v>224</v>
      </c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</row>
    <row r="48" spans="1:26" ht="14.25">
      <c r="A48" s="89" t="s">
        <v>124</v>
      </c>
      <c r="B48" s="89" t="s">
        <v>125</v>
      </c>
      <c r="C48" s="95">
        <f t="shared" si="11"/>
        <v>0</v>
      </c>
      <c r="D48" s="95">
        <v>0.01</v>
      </c>
      <c r="E48" s="95">
        <f t="shared" si="7"/>
        <v>0.01</v>
      </c>
      <c r="F48" s="200">
        <v>500</v>
      </c>
      <c r="G48" s="95">
        <f t="shared" si="8"/>
        <v>500.01</v>
      </c>
      <c r="H48" s="95"/>
      <c r="I48" s="95"/>
      <c r="J48" s="95"/>
      <c r="K48" s="95">
        <v>166.67</v>
      </c>
      <c r="L48" s="95">
        <f t="shared" si="9"/>
        <v>166.67</v>
      </c>
      <c r="M48" s="95">
        <f t="shared" si="10"/>
        <v>333.34000000000003</v>
      </c>
      <c r="N48" s="10" t="s">
        <v>225</v>
      </c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</row>
    <row r="49" spans="1:26" ht="14.25">
      <c r="A49" s="89" t="s">
        <v>127</v>
      </c>
      <c r="B49" s="89" t="s">
        <v>128</v>
      </c>
      <c r="C49" s="95">
        <f t="shared" si="11"/>
        <v>0</v>
      </c>
      <c r="D49" s="95">
        <v>6000</v>
      </c>
      <c r="E49" s="95">
        <f t="shared" si="7"/>
        <v>6000</v>
      </c>
      <c r="F49" s="164">
        <f>400+1211.82</f>
        <v>1611.82</v>
      </c>
      <c r="G49" s="95">
        <f t="shared" si="8"/>
        <v>7611.82</v>
      </c>
      <c r="H49" s="95"/>
      <c r="I49" s="95">
        <v>501</v>
      </c>
      <c r="J49" s="95">
        <v>4950</v>
      </c>
      <c r="K49" s="95">
        <v>2160.82</v>
      </c>
      <c r="L49" s="95">
        <f t="shared" si="9"/>
        <v>7611.82</v>
      </c>
      <c r="M49" s="95">
        <f t="shared" si="10"/>
        <v>0</v>
      </c>
      <c r="N49" s="10" t="s">
        <v>226</v>
      </c>
      <c r="O49" s="166"/>
      <c r="P49" s="166"/>
      <c r="Q49" s="202"/>
      <c r="R49" s="202"/>
      <c r="S49" s="202"/>
      <c r="T49" s="166"/>
      <c r="U49" s="166"/>
      <c r="V49" s="166"/>
      <c r="W49" s="166"/>
      <c r="X49" s="166"/>
      <c r="Y49" s="166"/>
      <c r="Z49" s="166"/>
    </row>
    <row r="50" spans="1:26" ht="14.25">
      <c r="A50" s="89" t="s">
        <v>131</v>
      </c>
      <c r="B50" s="89" t="s">
        <v>132</v>
      </c>
      <c r="C50" s="95">
        <f t="shared" si="11"/>
        <v>0</v>
      </c>
      <c r="D50" s="95">
        <v>0.01</v>
      </c>
      <c r="E50" s="95">
        <f t="shared" si="7"/>
        <v>0.01</v>
      </c>
      <c r="F50" s="95"/>
      <c r="G50" s="95">
        <f t="shared" si="8"/>
        <v>0.01</v>
      </c>
      <c r="H50" s="95"/>
      <c r="I50" s="95"/>
      <c r="J50" s="95"/>
      <c r="K50" s="95"/>
      <c r="L50" s="95">
        <f t="shared" si="9"/>
        <v>0</v>
      </c>
      <c r="M50" s="95">
        <f t="shared" si="10"/>
        <v>0.01</v>
      </c>
      <c r="N50" s="10"/>
      <c r="O50" s="166"/>
      <c r="P50" s="166"/>
      <c r="Q50" s="202"/>
      <c r="R50" s="166"/>
      <c r="S50" s="202"/>
      <c r="T50" s="166"/>
      <c r="U50" s="166"/>
      <c r="V50" s="166"/>
      <c r="W50" s="166"/>
      <c r="X50" s="166"/>
      <c r="Y50" s="166"/>
      <c r="Z50" s="166"/>
    </row>
    <row r="51" spans="1:26" ht="14.25">
      <c r="A51" s="89" t="s">
        <v>134</v>
      </c>
      <c r="B51" s="89" t="s">
        <v>135</v>
      </c>
      <c r="C51" s="95">
        <f t="shared" si="11"/>
        <v>0</v>
      </c>
      <c r="D51" s="95">
        <v>0.01</v>
      </c>
      <c r="E51" s="95">
        <f t="shared" si="7"/>
        <v>0.01</v>
      </c>
      <c r="F51" s="95"/>
      <c r="G51" s="95">
        <f t="shared" si="8"/>
        <v>0.01</v>
      </c>
      <c r="H51" s="95"/>
      <c r="I51" s="95"/>
      <c r="J51" s="95"/>
      <c r="K51" s="95"/>
      <c r="L51" s="95">
        <f t="shared" si="9"/>
        <v>0</v>
      </c>
      <c r="M51" s="95">
        <f t="shared" si="10"/>
        <v>0.01</v>
      </c>
      <c r="N51" s="10"/>
      <c r="O51" s="166"/>
      <c r="P51" s="166"/>
      <c r="Q51" s="166"/>
      <c r="R51" s="166"/>
      <c r="S51" s="166">
        <f>700*3</f>
        <v>2100</v>
      </c>
      <c r="T51" s="166"/>
      <c r="U51" s="166"/>
      <c r="V51" s="166"/>
      <c r="W51" s="166"/>
      <c r="X51" s="166"/>
      <c r="Y51" s="166"/>
      <c r="Z51" s="166"/>
    </row>
    <row r="52" spans="1:26" ht="14.25">
      <c r="A52" s="89" t="s">
        <v>136</v>
      </c>
      <c r="B52" s="89" t="s">
        <v>227</v>
      </c>
      <c r="C52" s="95">
        <f t="shared" si="11"/>
        <v>0</v>
      </c>
      <c r="D52" s="95">
        <v>0.01</v>
      </c>
      <c r="E52" s="95">
        <f t="shared" si="7"/>
        <v>0.01</v>
      </c>
      <c r="F52" s="95"/>
      <c r="G52" s="95">
        <f t="shared" si="8"/>
        <v>0.01</v>
      </c>
      <c r="H52" s="95"/>
      <c r="I52" s="95"/>
      <c r="J52" s="95"/>
      <c r="K52" s="95"/>
      <c r="L52" s="95">
        <f t="shared" si="9"/>
        <v>0</v>
      </c>
      <c r="M52" s="95">
        <f t="shared" si="10"/>
        <v>0.01</v>
      </c>
      <c r="N52" s="10" t="s">
        <v>228</v>
      </c>
      <c r="O52" s="166"/>
      <c r="P52" s="166"/>
      <c r="Q52" s="166"/>
      <c r="R52" s="166"/>
      <c r="S52" s="166">
        <v>1200</v>
      </c>
      <c r="T52" s="166"/>
      <c r="U52" s="166"/>
      <c r="V52" s="166"/>
      <c r="W52" s="166"/>
      <c r="X52" s="166"/>
      <c r="Y52" s="166"/>
      <c r="Z52" s="166"/>
    </row>
    <row r="53" spans="1:26" ht="14.25">
      <c r="A53" s="89" t="s">
        <v>138</v>
      </c>
      <c r="B53" s="89" t="s">
        <v>229</v>
      </c>
      <c r="C53" s="95">
        <f t="shared" si="11"/>
        <v>0</v>
      </c>
      <c r="D53" s="95">
        <v>0.01</v>
      </c>
      <c r="E53" s="95">
        <f t="shared" si="7"/>
        <v>0.01</v>
      </c>
      <c r="F53" s="95"/>
      <c r="G53" s="95">
        <f t="shared" si="8"/>
        <v>0.01</v>
      </c>
      <c r="H53" s="95"/>
      <c r="I53" s="95"/>
      <c r="J53" s="95"/>
      <c r="K53" s="95"/>
      <c r="L53" s="95">
        <f t="shared" si="9"/>
        <v>0</v>
      </c>
      <c r="M53" s="95">
        <f t="shared" si="10"/>
        <v>0.01</v>
      </c>
      <c r="N53" s="10"/>
      <c r="O53" s="166"/>
      <c r="P53" s="166"/>
      <c r="Q53" s="166"/>
      <c r="R53" s="166"/>
      <c r="S53" s="166">
        <v>1000</v>
      </c>
      <c r="T53" s="166"/>
      <c r="U53" s="166"/>
      <c r="V53" s="166"/>
      <c r="W53" s="166"/>
      <c r="X53" s="166"/>
      <c r="Y53" s="166"/>
      <c r="Z53" s="166"/>
    </row>
    <row r="54" spans="1:26" ht="14.25">
      <c r="A54" s="89" t="s">
        <v>142</v>
      </c>
      <c r="B54" s="89" t="s">
        <v>143</v>
      </c>
      <c r="C54" s="95">
        <f t="shared" si="11"/>
        <v>0</v>
      </c>
      <c r="D54" s="95">
        <v>0.01</v>
      </c>
      <c r="E54" s="95">
        <f t="shared" si="7"/>
        <v>0.01</v>
      </c>
      <c r="F54" s="95"/>
      <c r="G54" s="95">
        <f t="shared" si="8"/>
        <v>0.01</v>
      </c>
      <c r="H54" s="95"/>
      <c r="I54" s="95"/>
      <c r="J54" s="95"/>
      <c r="K54" s="95"/>
      <c r="L54" s="95">
        <f t="shared" si="9"/>
        <v>0</v>
      </c>
      <c r="M54" s="95">
        <f t="shared" si="10"/>
        <v>0.01</v>
      </c>
      <c r="N54" s="10" t="s">
        <v>230</v>
      </c>
      <c r="O54" s="166"/>
      <c r="P54" s="166"/>
      <c r="Q54" s="166"/>
      <c r="R54" s="166"/>
      <c r="S54" s="166">
        <f>+S51+S52+S53</f>
        <v>4300</v>
      </c>
      <c r="T54" s="166"/>
      <c r="U54" s="166"/>
      <c r="V54" s="166"/>
      <c r="W54" s="166"/>
      <c r="X54" s="166"/>
      <c r="Y54" s="166"/>
      <c r="Z54" s="166"/>
    </row>
    <row r="55" spans="1:26" ht="14.25">
      <c r="A55" s="89" t="s">
        <v>144</v>
      </c>
      <c r="B55" s="89" t="s">
        <v>231</v>
      </c>
      <c r="C55" s="95">
        <f t="shared" si="11"/>
        <v>0</v>
      </c>
      <c r="D55" s="95">
        <v>0.01</v>
      </c>
      <c r="E55" s="95">
        <f t="shared" si="7"/>
        <v>0.01</v>
      </c>
      <c r="F55" s="95"/>
      <c r="G55" s="95">
        <f t="shared" si="8"/>
        <v>0.01</v>
      </c>
      <c r="H55" s="95"/>
      <c r="I55" s="95"/>
      <c r="J55" s="95"/>
      <c r="K55" s="95"/>
      <c r="L55" s="95">
        <f t="shared" si="9"/>
        <v>0</v>
      </c>
      <c r="M55" s="95">
        <f t="shared" si="10"/>
        <v>0.01</v>
      </c>
      <c r="N55" s="10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</row>
    <row r="56" spans="1:26" ht="14.25">
      <c r="A56" s="197" t="s">
        <v>146</v>
      </c>
      <c r="B56" s="89" t="s">
        <v>232</v>
      </c>
      <c r="C56" s="95">
        <f t="shared" si="11"/>
        <v>0</v>
      </c>
      <c r="D56" s="95">
        <v>0.01</v>
      </c>
      <c r="E56" s="95">
        <f t="shared" si="7"/>
        <v>0.01</v>
      </c>
      <c r="F56" s="95"/>
      <c r="G56" s="95">
        <f t="shared" si="8"/>
        <v>0.01</v>
      </c>
      <c r="H56" s="95"/>
      <c r="I56" s="95"/>
      <c r="J56" s="95"/>
      <c r="K56" s="95"/>
      <c r="L56" s="95">
        <f t="shared" si="9"/>
        <v>0</v>
      </c>
      <c r="M56" s="95">
        <f t="shared" si="10"/>
        <v>0.01</v>
      </c>
      <c r="N56" s="10" t="s">
        <v>233</v>
      </c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</row>
    <row r="57" spans="1:26" ht="14.25">
      <c r="A57" s="197" t="s">
        <v>147</v>
      </c>
      <c r="B57" s="89" t="s">
        <v>234</v>
      </c>
      <c r="C57" s="95">
        <f t="shared" si="11"/>
        <v>0</v>
      </c>
      <c r="D57" s="95">
        <v>0.01</v>
      </c>
      <c r="E57" s="95">
        <f t="shared" si="7"/>
        <v>0.01</v>
      </c>
      <c r="F57" s="165">
        <f>1200-REFORMAS!D55</f>
        <v>1064.99</v>
      </c>
      <c r="G57" s="95">
        <f t="shared" si="8"/>
        <v>1065</v>
      </c>
      <c r="H57" s="95"/>
      <c r="I57" s="95">
        <v>1065</v>
      </c>
      <c r="J57" s="95"/>
      <c r="K57" s="95"/>
      <c r="L57" s="95">
        <f t="shared" si="9"/>
        <v>1065</v>
      </c>
      <c r="M57" s="95">
        <f t="shared" si="10"/>
        <v>0</v>
      </c>
      <c r="N57" s="10" t="s">
        <v>235</v>
      </c>
      <c r="O57" s="166"/>
      <c r="P57" s="166"/>
      <c r="Q57" s="166"/>
      <c r="R57" s="166"/>
      <c r="S57" s="166"/>
      <c r="T57" s="166">
        <f>9000-S54</f>
        <v>4700</v>
      </c>
      <c r="U57" s="166"/>
      <c r="V57" s="166"/>
      <c r="W57" s="166"/>
      <c r="X57" s="166"/>
      <c r="Y57" s="166"/>
      <c r="Z57" s="166"/>
    </row>
    <row r="58" spans="1:26" ht="14.25">
      <c r="A58" s="197" t="s">
        <v>162</v>
      </c>
      <c r="B58" s="89" t="str">
        <f>+B122</f>
        <v xml:space="preserve">Mobiliario </v>
      </c>
      <c r="C58" s="95">
        <f t="shared" si="11"/>
        <v>0</v>
      </c>
      <c r="D58" s="95">
        <v>0</v>
      </c>
      <c r="E58" s="95">
        <f t="shared" si="7"/>
        <v>0</v>
      </c>
      <c r="F58" s="165">
        <f>1100-REFORMAS!D56</f>
        <v>1050</v>
      </c>
      <c r="G58" s="95">
        <f t="shared" si="8"/>
        <v>1050</v>
      </c>
      <c r="H58" s="95"/>
      <c r="I58" s="95"/>
      <c r="J58" s="95">
        <v>1050</v>
      </c>
      <c r="K58" s="95"/>
      <c r="L58" s="95">
        <f t="shared" si="9"/>
        <v>1050</v>
      </c>
      <c r="M58" s="95">
        <f t="shared" si="10"/>
        <v>0</v>
      </c>
      <c r="N58" s="10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</row>
    <row r="59" spans="1:26" ht="14.25">
      <c r="A59" s="89" t="s">
        <v>173</v>
      </c>
      <c r="B59" s="89" t="s">
        <v>236</v>
      </c>
      <c r="C59" s="95">
        <f t="shared" si="11"/>
        <v>0</v>
      </c>
      <c r="D59" s="95">
        <v>0.01</v>
      </c>
      <c r="E59" s="95">
        <f t="shared" si="7"/>
        <v>0.01</v>
      </c>
      <c r="F59" s="95"/>
      <c r="G59" s="95">
        <f t="shared" si="8"/>
        <v>0.01</v>
      </c>
      <c r="H59" s="95"/>
      <c r="I59" s="95"/>
      <c r="J59" s="95"/>
      <c r="K59" s="95"/>
      <c r="L59" s="95">
        <f t="shared" si="9"/>
        <v>0</v>
      </c>
      <c r="M59" s="95">
        <f t="shared" si="10"/>
        <v>0.01</v>
      </c>
      <c r="N59" s="10" t="s">
        <v>237</v>
      </c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</row>
    <row r="60" spans="1:26" ht="14.25">
      <c r="A60" s="10"/>
      <c r="B60" s="156" t="s">
        <v>6</v>
      </c>
      <c r="C60" s="159">
        <f aca="true" t="shared" si="12" ref="C60:M60">SUM(C43:C59)</f>
        <v>0</v>
      </c>
      <c r="D60" s="159">
        <f t="shared" si="12"/>
        <v>23461.517999999982</v>
      </c>
      <c r="E60" s="159">
        <f t="shared" si="12"/>
        <v>23461.517999999982</v>
      </c>
      <c r="F60" s="159">
        <f t="shared" si="12"/>
        <v>13073.02</v>
      </c>
      <c r="G60" s="159">
        <f t="shared" si="12"/>
        <v>36534.538000000015</v>
      </c>
      <c r="H60" s="159">
        <f t="shared" si="12"/>
        <v>888.9</v>
      </c>
      <c r="I60" s="159">
        <f t="shared" si="12"/>
        <v>6849.45</v>
      </c>
      <c r="J60" s="159">
        <f t="shared" si="12"/>
        <v>12025.86</v>
      </c>
      <c r="K60" s="159">
        <f t="shared" si="12"/>
        <v>13011.99</v>
      </c>
      <c r="L60" s="159">
        <f t="shared" si="12"/>
        <v>33476.2</v>
      </c>
      <c r="M60" s="159">
        <f t="shared" si="12"/>
        <v>3058.3380000000016</v>
      </c>
      <c r="N60" s="10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</row>
    <row r="61" spans="1:26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</row>
    <row r="62" spans="1:26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</row>
    <row r="63" spans="1:26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</row>
    <row r="64" spans="1:26" ht="14.25">
      <c r="A64" s="228" t="s">
        <v>205</v>
      </c>
      <c r="B64" s="228"/>
      <c r="C64" s="228"/>
      <c r="D64" s="228"/>
      <c r="E64" s="228"/>
      <c r="F64" s="10"/>
      <c r="G64" s="10"/>
      <c r="H64" s="10"/>
      <c r="I64" s="10"/>
      <c r="J64" s="10"/>
      <c r="K64" s="10"/>
      <c r="L64" s="10"/>
      <c r="M64" s="10"/>
      <c r="N64" s="10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</row>
    <row r="65" spans="1:26" ht="14.25">
      <c r="A65" s="228" t="s">
        <v>206</v>
      </c>
      <c r="B65" s="228"/>
      <c r="C65" s="228"/>
      <c r="D65" s="228"/>
      <c r="E65" s="228"/>
      <c r="F65" s="10"/>
      <c r="G65" s="53"/>
      <c r="H65" s="10"/>
      <c r="I65" s="10"/>
      <c r="J65" s="10"/>
      <c r="K65" s="10"/>
      <c r="L65" s="10"/>
      <c r="M65" s="10"/>
      <c r="N65" s="10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</row>
    <row r="66" spans="1:26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</row>
    <row r="67" spans="1:26" ht="14.25">
      <c r="A67" s="150" t="s">
        <v>207</v>
      </c>
      <c r="B67" s="150" t="s">
        <v>238</v>
      </c>
      <c r="C67" s="163"/>
      <c r="D67" s="163"/>
      <c r="E67" s="153"/>
      <c r="F67" s="10"/>
      <c r="G67" s="10"/>
      <c r="H67" s="10"/>
      <c r="I67" s="10"/>
      <c r="J67" s="10"/>
      <c r="K67" s="10"/>
      <c r="L67" s="10"/>
      <c r="M67" s="10"/>
      <c r="N67" s="10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</row>
    <row r="68" spans="1:26" ht="14.25">
      <c r="A68" s="150" t="s">
        <v>239</v>
      </c>
      <c r="B68" s="150" t="s">
        <v>240</v>
      </c>
      <c r="C68" s="163"/>
      <c r="D68" s="150"/>
      <c r="E68" s="153"/>
      <c r="F68" s="10"/>
      <c r="G68" s="10"/>
      <c r="H68" s="10"/>
      <c r="I68" s="10"/>
      <c r="J68" s="10"/>
      <c r="K68" s="10"/>
      <c r="L68" s="10"/>
      <c r="M68" s="10"/>
      <c r="N68" s="10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</row>
    <row r="69" spans="1:26" ht="14.25">
      <c r="A69" s="153"/>
      <c r="B69" s="153"/>
      <c r="C69" s="153"/>
      <c r="D69" s="153"/>
      <c r="E69" s="153"/>
      <c r="F69" s="10"/>
      <c r="G69" s="10"/>
      <c r="H69" s="227" t="s">
        <v>36</v>
      </c>
      <c r="I69" s="227"/>
      <c r="J69" s="227"/>
      <c r="K69" s="227"/>
      <c r="L69" s="227"/>
      <c r="M69" s="10"/>
      <c r="N69" s="10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</row>
    <row r="70" spans="1:26" ht="14.25">
      <c r="A70" s="168" t="s">
        <v>2</v>
      </c>
      <c r="B70" s="168" t="s">
        <v>211</v>
      </c>
      <c r="C70" s="168" t="s">
        <v>34</v>
      </c>
      <c r="D70" s="168" t="s">
        <v>212</v>
      </c>
      <c r="E70" s="168" t="s">
        <v>213</v>
      </c>
      <c r="F70" s="156" t="s">
        <v>5</v>
      </c>
      <c r="G70" s="156" t="s">
        <v>6</v>
      </c>
      <c r="H70" s="156" t="s">
        <v>214</v>
      </c>
      <c r="I70" s="156" t="s">
        <v>215</v>
      </c>
      <c r="J70" s="156" t="s">
        <v>216</v>
      </c>
      <c r="K70" s="156" t="s">
        <v>217</v>
      </c>
      <c r="L70" s="156" t="s">
        <v>6</v>
      </c>
      <c r="M70" s="156" t="s">
        <v>6</v>
      </c>
      <c r="N70" s="10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</row>
    <row r="71" spans="1:26" ht="14.25">
      <c r="A71" s="89" t="s">
        <v>96</v>
      </c>
      <c r="B71" s="89" t="s">
        <v>241</v>
      </c>
      <c r="C71" s="95">
        <f>+D71*0</f>
        <v>0</v>
      </c>
      <c r="D71" s="95">
        <v>500</v>
      </c>
      <c r="E71" s="95">
        <f>+C71+D71</f>
        <v>500</v>
      </c>
      <c r="F71" s="95"/>
      <c r="G71" s="95">
        <f>+E71+F71</f>
        <v>500</v>
      </c>
      <c r="H71" s="95">
        <v>53.58</v>
      </c>
      <c r="I71" s="95">
        <v>80.37</v>
      </c>
      <c r="J71" s="95">
        <v>53.58</v>
      </c>
      <c r="K71" s="95">
        <v>133.94</v>
      </c>
      <c r="L71" s="95">
        <f>+H71+I71+J71+K71</f>
        <v>321.46999999999997</v>
      </c>
      <c r="M71" s="95">
        <f>+G71-L71</f>
        <v>178.53000000000003</v>
      </c>
      <c r="N71" s="10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</row>
    <row r="72" spans="1:26" ht="14.25">
      <c r="A72" s="197" t="s">
        <v>126</v>
      </c>
      <c r="B72" s="89" t="s">
        <v>242</v>
      </c>
      <c r="C72" s="95">
        <f aca="true" t="shared" si="13" ref="C72:C73">+D72*0</f>
        <v>0</v>
      </c>
      <c r="D72" s="95">
        <v>200</v>
      </c>
      <c r="E72" s="95">
        <f aca="true" t="shared" si="14" ref="E72:E73">+C72+D72</f>
        <v>200</v>
      </c>
      <c r="F72" s="165">
        <f>-REFORMAS!D57</f>
        <v>-200</v>
      </c>
      <c r="G72" s="95">
        <f aca="true" t="shared" si="15" ref="G72:G73">+E72+F72</f>
        <v>0</v>
      </c>
      <c r="H72" s="95"/>
      <c r="I72" s="95"/>
      <c r="J72" s="95"/>
      <c r="K72" s="95"/>
      <c r="L72" s="95"/>
      <c r="M72" s="95">
        <f>+G72-L72</f>
        <v>0</v>
      </c>
      <c r="N72" s="10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</row>
    <row r="73" spans="1:26" ht="14.25">
      <c r="A73" s="89" t="s">
        <v>171</v>
      </c>
      <c r="B73" s="89" t="s">
        <v>243</v>
      </c>
      <c r="C73" s="95">
        <f t="shared" si="13"/>
        <v>0</v>
      </c>
      <c r="D73" s="95">
        <v>200</v>
      </c>
      <c r="E73" s="95">
        <f t="shared" si="14"/>
        <v>200</v>
      </c>
      <c r="F73" s="95">
        <v>-199</v>
      </c>
      <c r="G73" s="95">
        <f t="shared" si="15"/>
        <v>1</v>
      </c>
      <c r="H73" s="95"/>
      <c r="I73" s="95"/>
      <c r="J73" s="95"/>
      <c r="K73" s="95"/>
      <c r="L73" s="95">
        <f>+H73+I73+J73+K73</f>
        <v>0</v>
      </c>
      <c r="M73" s="95">
        <f aca="true" t="shared" si="16" ref="M73">+G73-L73</f>
        <v>1</v>
      </c>
      <c r="N73" s="10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</row>
    <row r="74" spans="1:26" ht="14.25">
      <c r="A74" s="10"/>
      <c r="B74" s="156" t="s">
        <v>6</v>
      </c>
      <c r="C74" s="159">
        <f aca="true" t="shared" si="17" ref="C74:E74">SUM(C71:C73)</f>
        <v>0</v>
      </c>
      <c r="D74" s="159">
        <f t="shared" si="17"/>
        <v>900</v>
      </c>
      <c r="E74" s="159">
        <f t="shared" si="17"/>
        <v>900</v>
      </c>
      <c r="F74" s="159">
        <f aca="true" t="shared" si="18" ref="F74:M74">SUM(F71:F73)</f>
        <v>-399</v>
      </c>
      <c r="G74" s="159">
        <f t="shared" si="18"/>
        <v>501</v>
      </c>
      <c r="H74" s="159">
        <f t="shared" si="18"/>
        <v>53.58</v>
      </c>
      <c r="I74" s="159">
        <f t="shared" si="18"/>
        <v>80.37</v>
      </c>
      <c r="J74" s="159">
        <f t="shared" si="18"/>
        <v>53.58</v>
      </c>
      <c r="K74" s="159">
        <f t="shared" si="18"/>
        <v>133.94</v>
      </c>
      <c r="L74" s="159">
        <f t="shared" si="18"/>
        <v>321.46999999999997</v>
      </c>
      <c r="M74" s="159">
        <f t="shared" si="18"/>
        <v>179.53000000000003</v>
      </c>
      <c r="N74" s="10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</row>
    <row r="75" spans="1:26" ht="14.25">
      <c r="A75" s="10"/>
      <c r="B75" s="152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0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</row>
    <row r="76" spans="1:26" ht="14.25">
      <c r="A76" s="10"/>
      <c r="B76" s="152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0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</row>
    <row r="77" spans="1:26" ht="14.25">
      <c r="A77" s="10"/>
      <c r="B77" s="152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0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1:26" ht="14.25">
      <c r="A78" s="228" t="s">
        <v>205</v>
      </c>
      <c r="B78" s="228"/>
      <c r="C78" s="228"/>
      <c r="D78" s="228"/>
      <c r="E78" s="228"/>
      <c r="F78" s="10"/>
      <c r="G78" s="10"/>
      <c r="H78" s="10"/>
      <c r="I78" s="10"/>
      <c r="J78" s="10"/>
      <c r="K78" s="10"/>
      <c r="L78" s="10"/>
      <c r="M78" s="10"/>
      <c r="N78" s="10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</row>
    <row r="79" spans="1:26" ht="14.25">
      <c r="A79" s="228" t="s">
        <v>206</v>
      </c>
      <c r="B79" s="228"/>
      <c r="C79" s="228"/>
      <c r="D79" s="228"/>
      <c r="E79" s="228"/>
      <c r="F79" s="10"/>
      <c r="G79" s="10"/>
      <c r="H79" s="10"/>
      <c r="I79" s="10"/>
      <c r="J79" s="10"/>
      <c r="K79" s="10"/>
      <c r="L79" s="10"/>
      <c r="M79" s="10"/>
      <c r="N79" s="10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</row>
    <row r="80" spans="1:26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</row>
    <row r="81" spans="1:26" ht="14.25">
      <c r="A81" s="150" t="s">
        <v>207</v>
      </c>
      <c r="B81" s="150" t="s">
        <v>238</v>
      </c>
      <c r="C81" s="153"/>
      <c r="D81" s="153"/>
      <c r="E81" s="153"/>
      <c r="F81" s="10"/>
      <c r="G81" s="10"/>
      <c r="H81" s="10"/>
      <c r="I81" s="10"/>
      <c r="J81" s="10"/>
      <c r="K81" s="10"/>
      <c r="L81" s="10"/>
      <c r="M81" s="10"/>
      <c r="N81" s="10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</row>
    <row r="82" spans="1:26" ht="14.25">
      <c r="A82" s="150" t="s">
        <v>244</v>
      </c>
      <c r="B82" s="150" t="s">
        <v>245</v>
      </c>
      <c r="C82" s="153"/>
      <c r="D82" s="153"/>
      <c r="E82" s="153"/>
      <c r="F82" s="10"/>
      <c r="G82" s="10"/>
      <c r="H82" s="10"/>
      <c r="I82" s="10"/>
      <c r="J82" s="10"/>
      <c r="K82" s="10"/>
      <c r="L82" s="10"/>
      <c r="M82" s="10"/>
      <c r="N82" s="10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</row>
    <row r="83" spans="1:26" ht="14.25">
      <c r="A83" s="153"/>
      <c r="B83" s="153"/>
      <c r="C83" s="153"/>
      <c r="D83" s="153"/>
      <c r="E83" s="153"/>
      <c r="F83" s="10"/>
      <c r="G83" s="10"/>
      <c r="H83" s="227" t="s">
        <v>36</v>
      </c>
      <c r="I83" s="227"/>
      <c r="J83" s="227"/>
      <c r="K83" s="227"/>
      <c r="L83" s="227"/>
      <c r="M83" s="10"/>
      <c r="N83" s="10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</row>
    <row r="84" spans="1:26" ht="14.25">
      <c r="A84" s="168" t="s">
        <v>2</v>
      </c>
      <c r="B84" s="168" t="s">
        <v>211</v>
      </c>
      <c r="C84" s="168" t="s">
        <v>34</v>
      </c>
      <c r="D84" s="168" t="s">
        <v>212</v>
      </c>
      <c r="E84" s="168" t="s">
        <v>213</v>
      </c>
      <c r="F84" s="156" t="s">
        <v>5</v>
      </c>
      <c r="G84" s="156" t="s">
        <v>6</v>
      </c>
      <c r="H84" s="156" t="s">
        <v>214</v>
      </c>
      <c r="I84" s="156" t="s">
        <v>215</v>
      </c>
      <c r="J84" s="156" t="s">
        <v>216</v>
      </c>
      <c r="K84" s="156" t="s">
        <v>217</v>
      </c>
      <c r="L84" s="156" t="s">
        <v>6</v>
      </c>
      <c r="M84" s="156" t="s">
        <v>6</v>
      </c>
      <c r="N84" s="10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</row>
    <row r="85" spans="1:26" ht="14.25">
      <c r="A85" s="89" t="s">
        <v>94</v>
      </c>
      <c r="B85" s="89" t="s">
        <v>50</v>
      </c>
      <c r="C85" s="89"/>
      <c r="D85" s="95">
        <v>0.01</v>
      </c>
      <c r="E85" s="95">
        <f aca="true" t="shared" si="19" ref="E85:E98">+C85+D85</f>
        <v>0.01</v>
      </c>
      <c r="F85" s="95"/>
      <c r="G85" s="95">
        <f aca="true" t="shared" si="20" ref="G85:G98">+E85+F85</f>
        <v>0.01</v>
      </c>
      <c r="H85" s="95"/>
      <c r="I85" s="95"/>
      <c r="J85" s="95"/>
      <c r="K85" s="95"/>
      <c r="L85" s="95">
        <f aca="true" t="shared" si="21" ref="L85:L98">+H85+I85+J85+K85</f>
        <v>0</v>
      </c>
      <c r="M85" s="95">
        <f aca="true" t="shared" si="22" ref="M85:M98">+G85-L85</f>
        <v>0.01</v>
      </c>
      <c r="N85" s="10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</row>
    <row r="86" spans="1:26" ht="14.25">
      <c r="A86" s="89" t="s">
        <v>95</v>
      </c>
      <c r="B86" s="89" t="s">
        <v>53</v>
      </c>
      <c r="C86" s="89"/>
      <c r="D86" s="95">
        <v>35.89</v>
      </c>
      <c r="E86" s="95">
        <f t="shared" si="19"/>
        <v>35.89</v>
      </c>
      <c r="F86" s="95"/>
      <c r="G86" s="95">
        <f t="shared" si="20"/>
        <v>35.89</v>
      </c>
      <c r="H86" s="95"/>
      <c r="I86" s="95"/>
      <c r="J86" s="95"/>
      <c r="K86" s="95"/>
      <c r="L86" s="95">
        <f t="shared" si="21"/>
        <v>0</v>
      </c>
      <c r="M86" s="95">
        <f t="shared" si="22"/>
        <v>35.89</v>
      </c>
      <c r="N86" s="10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</row>
    <row r="87" spans="1:26" ht="14.25">
      <c r="A87" s="197" t="s">
        <v>98</v>
      </c>
      <c r="B87" s="89" t="s">
        <v>246</v>
      </c>
      <c r="C87" s="95">
        <f>+D87*0</f>
        <v>0</v>
      </c>
      <c r="D87" s="95">
        <v>0.01</v>
      </c>
      <c r="E87" s="95">
        <f t="shared" si="19"/>
        <v>0.01</v>
      </c>
      <c r="F87" s="95"/>
      <c r="G87" s="95">
        <f t="shared" si="20"/>
        <v>0.01</v>
      </c>
      <c r="H87" s="95"/>
      <c r="I87" s="95"/>
      <c r="J87" s="95"/>
      <c r="K87" s="95"/>
      <c r="L87" s="95">
        <f t="shared" si="21"/>
        <v>0</v>
      </c>
      <c r="M87" s="95">
        <f t="shared" si="22"/>
        <v>0.01</v>
      </c>
      <c r="N87" s="10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</row>
    <row r="88" spans="1:26" ht="14.25">
      <c r="A88" s="197" t="s">
        <v>105</v>
      </c>
      <c r="B88" s="89" t="s">
        <v>106</v>
      </c>
      <c r="C88" s="95">
        <f>+D88*0</f>
        <v>0</v>
      </c>
      <c r="D88" s="95">
        <v>0.01</v>
      </c>
      <c r="E88" s="95">
        <f t="shared" si="19"/>
        <v>0.01</v>
      </c>
      <c r="F88" s="165">
        <f>4355-REFORMAS!D58</f>
        <v>3565.6</v>
      </c>
      <c r="G88" s="95">
        <f t="shared" si="20"/>
        <v>3565.61</v>
      </c>
      <c r="H88" s="95"/>
      <c r="I88" s="95"/>
      <c r="J88" s="95"/>
      <c r="K88" s="95">
        <v>3565.61</v>
      </c>
      <c r="L88" s="95">
        <f t="shared" si="21"/>
        <v>3565.61</v>
      </c>
      <c r="M88" s="95">
        <f t="shared" si="22"/>
        <v>0</v>
      </c>
      <c r="N88" s="10" t="s">
        <v>247</v>
      </c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</row>
    <row r="89" spans="1:26" ht="14.25">
      <c r="A89" s="89" t="s">
        <v>107</v>
      </c>
      <c r="B89" s="89" t="s">
        <v>108</v>
      </c>
      <c r="C89" s="95">
        <f>+D89*0</f>
        <v>0</v>
      </c>
      <c r="D89" s="95">
        <v>200</v>
      </c>
      <c r="E89" s="95">
        <f t="shared" si="19"/>
        <v>200</v>
      </c>
      <c r="F89" s="165">
        <f>2000-REFORMAS!D59+88.88</f>
        <v>1383.88</v>
      </c>
      <c r="G89" s="95">
        <f t="shared" si="20"/>
        <v>1583.88</v>
      </c>
      <c r="H89" s="95"/>
      <c r="I89" s="95">
        <v>1495</v>
      </c>
      <c r="J89" s="95"/>
      <c r="K89" s="95">
        <v>88.88</v>
      </c>
      <c r="L89" s="95">
        <f t="shared" si="21"/>
        <v>1583.88</v>
      </c>
      <c r="M89" s="95">
        <f t="shared" si="22"/>
        <v>0</v>
      </c>
      <c r="N89" s="171" t="s">
        <v>248</v>
      </c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</row>
    <row r="90" spans="1:26" ht="14.25">
      <c r="A90" s="197" t="s">
        <v>111</v>
      </c>
      <c r="B90" s="89" t="s">
        <v>249</v>
      </c>
      <c r="C90" s="95">
        <f>+D90*0</f>
        <v>0</v>
      </c>
      <c r="D90" s="95">
        <v>0.01</v>
      </c>
      <c r="E90" s="95">
        <f t="shared" si="19"/>
        <v>0.01</v>
      </c>
      <c r="F90" s="95"/>
      <c r="G90" s="95">
        <f t="shared" si="20"/>
        <v>0.01</v>
      </c>
      <c r="H90" s="95"/>
      <c r="I90" s="95"/>
      <c r="J90" s="95"/>
      <c r="K90" s="95"/>
      <c r="L90" s="95">
        <f t="shared" si="21"/>
        <v>0</v>
      </c>
      <c r="M90" s="95">
        <f t="shared" si="22"/>
        <v>0.01</v>
      </c>
      <c r="N90" s="10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</row>
    <row r="91" spans="1:26" ht="14.25">
      <c r="A91" s="89" t="s">
        <v>117</v>
      </c>
      <c r="B91" s="89" t="s">
        <v>168</v>
      </c>
      <c r="C91" s="95"/>
      <c r="D91" s="95">
        <v>0.01</v>
      </c>
      <c r="E91" s="95">
        <f t="shared" si="19"/>
        <v>0.01</v>
      </c>
      <c r="F91" s="95"/>
      <c r="G91" s="95">
        <f t="shared" si="20"/>
        <v>0.01</v>
      </c>
      <c r="H91" s="95"/>
      <c r="I91" s="95"/>
      <c r="J91" s="95"/>
      <c r="K91" s="95"/>
      <c r="L91" s="95">
        <f t="shared" si="21"/>
        <v>0</v>
      </c>
      <c r="M91" s="95">
        <f t="shared" si="22"/>
        <v>0.01</v>
      </c>
      <c r="N91" s="10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</row>
    <row r="92" spans="1:26" ht="14.25">
      <c r="A92" s="89" t="s">
        <v>127</v>
      </c>
      <c r="B92" s="89" t="s">
        <v>128</v>
      </c>
      <c r="C92" s="95">
        <f aca="true" t="shared" si="23" ref="C92:C98">+D92*0</f>
        <v>0</v>
      </c>
      <c r="D92" s="95">
        <v>0.01</v>
      </c>
      <c r="E92" s="95">
        <f t="shared" si="19"/>
        <v>0.01</v>
      </c>
      <c r="F92" s="95"/>
      <c r="G92" s="95">
        <f t="shared" si="20"/>
        <v>0.01</v>
      </c>
      <c r="H92" s="95"/>
      <c r="I92" s="95"/>
      <c r="J92" s="95"/>
      <c r="K92" s="95"/>
      <c r="L92" s="95">
        <f t="shared" si="21"/>
        <v>0</v>
      </c>
      <c r="M92" s="95">
        <f t="shared" si="22"/>
        <v>0.01</v>
      </c>
      <c r="N92" s="10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</row>
    <row r="93" spans="1:26" ht="14.25">
      <c r="A93" s="89" t="s">
        <v>129</v>
      </c>
      <c r="B93" s="89" t="s">
        <v>130</v>
      </c>
      <c r="C93" s="95">
        <f t="shared" si="23"/>
        <v>0</v>
      </c>
      <c r="D93" s="95">
        <v>300</v>
      </c>
      <c r="E93" s="95">
        <f t="shared" si="19"/>
        <v>300</v>
      </c>
      <c r="F93" s="165">
        <f>-REFORMAS!D60</f>
        <v>-300</v>
      </c>
      <c r="G93" s="95">
        <f t="shared" si="20"/>
        <v>0</v>
      </c>
      <c r="H93" s="95"/>
      <c r="I93" s="95"/>
      <c r="J93" s="95"/>
      <c r="K93" s="95"/>
      <c r="L93" s="95">
        <f t="shared" si="21"/>
        <v>0</v>
      </c>
      <c r="M93" s="95">
        <f t="shared" si="22"/>
        <v>0</v>
      </c>
      <c r="N93" s="10"/>
      <c r="O93" s="166">
        <f>789+704+300+100</f>
        <v>1893</v>
      </c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</row>
    <row r="94" spans="1:26" ht="14.25">
      <c r="A94" s="89" t="s">
        <v>140</v>
      </c>
      <c r="B94" s="89" t="s">
        <v>250</v>
      </c>
      <c r="C94" s="95">
        <f t="shared" si="23"/>
        <v>0</v>
      </c>
      <c r="D94" s="95">
        <v>100</v>
      </c>
      <c r="E94" s="95">
        <f t="shared" si="19"/>
        <v>100</v>
      </c>
      <c r="F94" s="165">
        <f>-REFORMAS!D61</f>
        <v>-100</v>
      </c>
      <c r="G94" s="95">
        <f t="shared" si="20"/>
        <v>0</v>
      </c>
      <c r="H94" s="95"/>
      <c r="I94" s="95"/>
      <c r="J94" s="95"/>
      <c r="K94" s="95"/>
      <c r="L94" s="95">
        <f t="shared" si="21"/>
        <v>0</v>
      </c>
      <c r="M94" s="95">
        <f t="shared" si="22"/>
        <v>0</v>
      </c>
      <c r="N94" s="10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</row>
    <row r="95" spans="1:26" ht="14.25">
      <c r="A95" s="89" t="s">
        <v>142</v>
      </c>
      <c r="B95" s="89" t="s">
        <v>143</v>
      </c>
      <c r="C95" s="95">
        <f t="shared" si="23"/>
        <v>0</v>
      </c>
      <c r="D95" s="95">
        <v>0.01</v>
      </c>
      <c r="E95" s="95">
        <f t="shared" si="19"/>
        <v>0.01</v>
      </c>
      <c r="F95" s="95">
        <v>59.14</v>
      </c>
      <c r="G95" s="95">
        <f t="shared" si="20"/>
        <v>59.15</v>
      </c>
      <c r="H95" s="95"/>
      <c r="I95" s="95"/>
      <c r="J95" s="95"/>
      <c r="K95" s="95"/>
      <c r="L95" s="95">
        <f t="shared" si="21"/>
        <v>0</v>
      </c>
      <c r="M95" s="95">
        <f t="shared" si="22"/>
        <v>59.15</v>
      </c>
      <c r="N95" s="10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</row>
    <row r="96" spans="1:26" ht="14.25">
      <c r="A96" s="89" t="s">
        <v>148</v>
      </c>
      <c r="B96" s="89" t="s">
        <v>149</v>
      </c>
      <c r="C96" s="95">
        <f t="shared" si="23"/>
        <v>0</v>
      </c>
      <c r="D96" s="95">
        <v>0.01</v>
      </c>
      <c r="E96" s="95">
        <f t="shared" si="19"/>
        <v>0.01</v>
      </c>
      <c r="F96" s="95">
        <v>7250.15</v>
      </c>
      <c r="G96" s="95">
        <f t="shared" si="20"/>
        <v>7250.16</v>
      </c>
      <c r="H96" s="95"/>
      <c r="I96" s="95"/>
      <c r="J96" s="95"/>
      <c r="K96" s="95"/>
      <c r="L96" s="95">
        <f t="shared" si="21"/>
        <v>0</v>
      </c>
      <c r="M96" s="95">
        <f t="shared" si="22"/>
        <v>7250.16</v>
      </c>
      <c r="N96" s="10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</row>
    <row r="97" spans="1:26" ht="14.25">
      <c r="A97" s="197" t="s">
        <v>164</v>
      </c>
      <c r="B97" s="89" t="s">
        <v>251</v>
      </c>
      <c r="C97" s="95">
        <f t="shared" si="23"/>
        <v>0</v>
      </c>
      <c r="D97" s="95">
        <f>2000+5000</f>
        <v>7000</v>
      </c>
      <c r="E97" s="95">
        <f t="shared" si="19"/>
        <v>7000</v>
      </c>
      <c r="F97" s="170">
        <f>-REFORMAS!D34-2000-1100-REFORMAS!D45</f>
        <v>-6681</v>
      </c>
      <c r="G97" s="95">
        <f t="shared" si="20"/>
        <v>319</v>
      </c>
      <c r="H97" s="95"/>
      <c r="I97" s="95">
        <v>319</v>
      </c>
      <c r="J97" s="95"/>
      <c r="K97" s="95"/>
      <c r="L97" s="95">
        <f t="shared" si="21"/>
        <v>319</v>
      </c>
      <c r="M97" s="95">
        <f t="shared" si="22"/>
        <v>0</v>
      </c>
      <c r="N97" s="171" t="s">
        <v>252</v>
      </c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</row>
    <row r="98" spans="1:26" ht="14.25">
      <c r="A98" s="89" t="s">
        <v>169</v>
      </c>
      <c r="B98" s="89" t="s">
        <v>170</v>
      </c>
      <c r="C98" s="95">
        <f t="shared" si="23"/>
        <v>0</v>
      </c>
      <c r="D98" s="95">
        <v>0.01</v>
      </c>
      <c r="E98" s="95">
        <f t="shared" si="19"/>
        <v>0.01</v>
      </c>
      <c r="F98" s="95"/>
      <c r="G98" s="95">
        <f t="shared" si="20"/>
        <v>0.01</v>
      </c>
      <c r="H98" s="95"/>
      <c r="I98" s="95"/>
      <c r="J98" s="95"/>
      <c r="K98" s="95"/>
      <c r="L98" s="95">
        <f t="shared" si="21"/>
        <v>0</v>
      </c>
      <c r="M98" s="95">
        <f t="shared" si="22"/>
        <v>0.01</v>
      </c>
      <c r="N98" s="10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</row>
    <row r="99" spans="1:26" ht="14.25">
      <c r="A99" s="10"/>
      <c r="B99" s="156" t="s">
        <v>6</v>
      </c>
      <c r="C99" s="159">
        <f aca="true" t="shared" si="24" ref="C99:G99">SUM(C85:C98)</f>
        <v>0</v>
      </c>
      <c r="D99" s="159">
        <f t="shared" si="24"/>
        <v>7635.9800000000005</v>
      </c>
      <c r="E99" s="159">
        <f t="shared" si="24"/>
        <v>7635.9800000000005</v>
      </c>
      <c r="F99" s="159">
        <f>SUM(F85:F98)</f>
        <v>5177.77</v>
      </c>
      <c r="G99" s="159">
        <f t="shared" si="24"/>
        <v>12813.75</v>
      </c>
      <c r="H99" s="159">
        <f aca="true" t="shared" si="25" ref="H99:M99">SUM(H85:H98)</f>
        <v>0</v>
      </c>
      <c r="I99" s="159">
        <f t="shared" si="25"/>
        <v>1814</v>
      </c>
      <c r="J99" s="159">
        <f t="shared" si="25"/>
        <v>0</v>
      </c>
      <c r="K99" s="159">
        <f t="shared" si="25"/>
        <v>3654.4900000000002</v>
      </c>
      <c r="L99" s="159">
        <f t="shared" si="25"/>
        <v>5468.49</v>
      </c>
      <c r="M99" s="159">
        <f t="shared" si="25"/>
        <v>7345.26</v>
      </c>
      <c r="N99" s="10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</row>
    <row r="100" spans="1:26" ht="14.25">
      <c r="A100" s="10"/>
      <c r="B100" s="152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0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</row>
    <row r="101" spans="1:26" ht="14.25">
      <c r="A101" s="10"/>
      <c r="B101" s="152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0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</row>
    <row r="102" spans="1:26" ht="14.25">
      <c r="A102" s="10"/>
      <c r="B102" s="152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0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</row>
    <row r="103" spans="1:26" ht="14.25">
      <c r="A103" s="228" t="s">
        <v>205</v>
      </c>
      <c r="B103" s="228"/>
      <c r="C103" s="228"/>
      <c r="D103" s="228"/>
      <c r="E103" s="228"/>
      <c r="F103" s="10"/>
      <c r="G103" s="10"/>
      <c r="H103" s="10"/>
      <c r="I103" s="10"/>
      <c r="J103" s="10"/>
      <c r="K103" s="10"/>
      <c r="L103" s="10"/>
      <c r="M103" s="10"/>
      <c r="N103" s="10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</row>
    <row r="104" spans="1:26" ht="14.25">
      <c r="A104" s="228" t="s">
        <v>206</v>
      </c>
      <c r="B104" s="228"/>
      <c r="C104" s="228"/>
      <c r="D104" s="228"/>
      <c r="E104" s="228"/>
      <c r="F104" s="10"/>
      <c r="G104" s="10"/>
      <c r="H104" s="10"/>
      <c r="I104" s="10"/>
      <c r="J104" s="10"/>
      <c r="K104" s="10"/>
      <c r="L104" s="10"/>
      <c r="M104" s="10"/>
      <c r="N104" s="10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</row>
    <row r="105" spans="1:26" ht="14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</row>
    <row r="106" spans="1:26" ht="14.25">
      <c r="A106" s="150" t="s">
        <v>207</v>
      </c>
      <c r="B106" s="150" t="s">
        <v>238</v>
      </c>
      <c r="C106" s="153"/>
      <c r="D106" s="153"/>
      <c r="E106" s="153"/>
      <c r="F106" s="10"/>
      <c r="G106" s="10"/>
      <c r="H106" s="10"/>
      <c r="I106" s="10"/>
      <c r="J106" s="10"/>
      <c r="K106" s="10"/>
      <c r="L106" s="10"/>
      <c r="M106" s="10"/>
      <c r="N106" s="10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</row>
    <row r="107" spans="1:26" ht="14.25">
      <c r="A107" s="150" t="s">
        <v>253</v>
      </c>
      <c r="B107" s="150" t="s">
        <v>254</v>
      </c>
      <c r="C107" s="153"/>
      <c r="D107" s="153"/>
      <c r="E107" s="153"/>
      <c r="F107" s="10"/>
      <c r="G107" s="10"/>
      <c r="H107" s="10"/>
      <c r="I107" s="10"/>
      <c r="J107" s="10"/>
      <c r="K107" s="10"/>
      <c r="L107" s="10"/>
      <c r="M107" s="10"/>
      <c r="N107" s="10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</row>
    <row r="108" spans="1:26" ht="14.25">
      <c r="A108" s="153"/>
      <c r="B108" s="153"/>
      <c r="C108" s="153"/>
      <c r="D108" s="153"/>
      <c r="E108" s="153"/>
      <c r="F108" s="10"/>
      <c r="G108" s="10"/>
      <c r="H108" s="227" t="s">
        <v>255</v>
      </c>
      <c r="I108" s="227"/>
      <c r="J108" s="227"/>
      <c r="K108" s="227"/>
      <c r="L108" s="227"/>
      <c r="M108" s="89"/>
      <c r="N108" s="10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</row>
    <row r="109" spans="1:26" ht="14.25">
      <c r="A109" s="108" t="s">
        <v>2</v>
      </c>
      <c r="B109" s="108" t="s">
        <v>211</v>
      </c>
      <c r="C109" s="108" t="s">
        <v>34</v>
      </c>
      <c r="D109" s="108" t="s">
        <v>212</v>
      </c>
      <c r="E109" s="108" t="s">
        <v>213</v>
      </c>
      <c r="F109" s="156" t="s">
        <v>5</v>
      </c>
      <c r="G109" s="156" t="s">
        <v>6</v>
      </c>
      <c r="H109" s="156" t="s">
        <v>214</v>
      </c>
      <c r="I109" s="156" t="s">
        <v>215</v>
      </c>
      <c r="J109" s="156" t="s">
        <v>216</v>
      </c>
      <c r="K109" s="156" t="s">
        <v>217</v>
      </c>
      <c r="L109" s="156" t="s">
        <v>6</v>
      </c>
      <c r="M109" s="156" t="s">
        <v>6</v>
      </c>
      <c r="N109" s="10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</row>
    <row r="110" spans="1:26" ht="14.25">
      <c r="A110" s="197" t="s">
        <v>105</v>
      </c>
      <c r="B110" s="89" t="s">
        <v>256</v>
      </c>
      <c r="C110" s="95">
        <f>+D110*0</f>
        <v>0</v>
      </c>
      <c r="D110" s="95">
        <v>6061.75</v>
      </c>
      <c r="E110" s="95">
        <f aca="true" t="shared" si="26" ref="E110:E125">+C110+D110</f>
        <v>6061.75</v>
      </c>
      <c r="F110" s="95">
        <v>-1250</v>
      </c>
      <c r="G110" s="95">
        <f aca="true" t="shared" si="27" ref="G110:G125">+E110+F110</f>
        <v>4811.75</v>
      </c>
      <c r="H110" s="95"/>
      <c r="I110" s="95">
        <v>3487.6</v>
      </c>
      <c r="J110" s="95"/>
      <c r="K110" s="95">
        <v>1199.52</v>
      </c>
      <c r="L110" s="95">
        <f aca="true" t="shared" si="28" ref="L110:L125">+H110+I110+J110+K110</f>
        <v>4687.12</v>
      </c>
      <c r="M110" s="95">
        <f aca="true" t="shared" si="29" ref="M110:M125">+G110-L110</f>
        <v>124.63000000000011</v>
      </c>
      <c r="N110" s="171" t="s">
        <v>257</v>
      </c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</row>
    <row r="111" spans="1:26" ht="14.25">
      <c r="A111" s="89" t="s">
        <v>113</v>
      </c>
      <c r="B111" s="89" t="s">
        <v>114</v>
      </c>
      <c r="C111" s="95">
        <f>+D111*0</f>
        <v>0</v>
      </c>
      <c r="D111" s="95">
        <v>0.01</v>
      </c>
      <c r="E111" s="95">
        <f t="shared" si="26"/>
        <v>0.01</v>
      </c>
      <c r="F111" s="95"/>
      <c r="G111" s="95">
        <f t="shared" si="27"/>
        <v>0.01</v>
      </c>
      <c r="H111" s="95"/>
      <c r="I111" s="95"/>
      <c r="J111" s="95"/>
      <c r="K111" s="95"/>
      <c r="L111" s="95">
        <f t="shared" si="28"/>
        <v>0</v>
      </c>
      <c r="M111" s="95">
        <f t="shared" si="29"/>
        <v>0.01</v>
      </c>
      <c r="N111" s="10"/>
      <c r="O111" s="172"/>
      <c r="P111" s="172"/>
      <c r="Q111" s="172"/>
      <c r="R111" s="172"/>
      <c r="S111" s="166"/>
      <c r="T111" s="166"/>
      <c r="U111" s="166"/>
      <c r="V111" s="166"/>
      <c r="W111" s="166"/>
      <c r="X111" s="166"/>
      <c r="Y111" s="166"/>
      <c r="Z111" s="166"/>
    </row>
    <row r="112" spans="1:26" ht="14.25">
      <c r="A112" s="89" t="s">
        <v>117</v>
      </c>
      <c r="B112" s="89" t="s">
        <v>168</v>
      </c>
      <c r="C112" s="95"/>
      <c r="D112" s="95">
        <v>0.01</v>
      </c>
      <c r="E112" s="95">
        <f t="shared" si="26"/>
        <v>0.01</v>
      </c>
      <c r="F112" s="95"/>
      <c r="G112" s="95">
        <f t="shared" si="27"/>
        <v>0.01</v>
      </c>
      <c r="H112" s="95"/>
      <c r="I112" s="95"/>
      <c r="J112" s="95"/>
      <c r="K112" s="95"/>
      <c r="L112" s="95">
        <f t="shared" si="28"/>
        <v>0</v>
      </c>
      <c r="M112" s="95">
        <f t="shared" si="29"/>
        <v>0.01</v>
      </c>
      <c r="N112" s="10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</row>
    <row r="113" spans="1:26" ht="14.25">
      <c r="A113" s="89" t="s">
        <v>119</v>
      </c>
      <c r="B113" s="89" t="s">
        <v>120</v>
      </c>
      <c r="C113" s="95">
        <f aca="true" t="shared" si="30" ref="C113:C125">+D113*0</f>
        <v>0</v>
      </c>
      <c r="D113" s="95">
        <v>16800</v>
      </c>
      <c r="E113" s="95">
        <f t="shared" si="26"/>
        <v>16800</v>
      </c>
      <c r="F113" s="95">
        <f>-REFORMAS!D28-1000</f>
        <v>-2000</v>
      </c>
      <c r="G113" s="95">
        <f t="shared" si="27"/>
        <v>14800</v>
      </c>
      <c r="H113" s="95"/>
      <c r="I113" s="95"/>
      <c r="J113" s="95"/>
      <c r="K113" s="95"/>
      <c r="L113" s="95">
        <f t="shared" si="28"/>
        <v>0</v>
      </c>
      <c r="M113" s="95">
        <f t="shared" si="29"/>
        <v>14800</v>
      </c>
      <c r="N113" s="171" t="s">
        <v>258</v>
      </c>
      <c r="O113" s="172"/>
      <c r="P113" s="172"/>
      <c r="Q113" s="172"/>
      <c r="R113" s="172"/>
      <c r="S113" s="172"/>
      <c r="T113" s="172"/>
      <c r="U113" s="166"/>
      <c r="V113" s="166"/>
      <c r="W113" s="166"/>
      <c r="X113" s="166"/>
      <c r="Y113" s="166"/>
      <c r="Z113" s="166"/>
    </row>
    <row r="114" spans="1:26" ht="14.25">
      <c r="A114" s="89" t="s">
        <v>123</v>
      </c>
      <c r="B114" s="89" t="s">
        <v>223</v>
      </c>
      <c r="C114" s="95">
        <f t="shared" si="30"/>
        <v>0</v>
      </c>
      <c r="D114" s="95">
        <v>0.01</v>
      </c>
      <c r="E114" s="95">
        <f t="shared" si="26"/>
        <v>0.01</v>
      </c>
      <c r="F114" s="95">
        <v>1000</v>
      </c>
      <c r="G114" s="95">
        <f t="shared" si="27"/>
        <v>1000.01</v>
      </c>
      <c r="H114" s="95"/>
      <c r="I114" s="95"/>
      <c r="J114" s="95">
        <v>1000</v>
      </c>
      <c r="K114" s="95"/>
      <c r="L114" s="95">
        <f t="shared" si="28"/>
        <v>1000</v>
      </c>
      <c r="M114" s="95">
        <f t="shared" si="29"/>
        <v>0.009999999999990905</v>
      </c>
      <c r="N114" s="10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</row>
    <row r="115" spans="1:26" ht="14.25">
      <c r="A115" s="89" t="s">
        <v>127</v>
      </c>
      <c r="B115" s="89" t="s">
        <v>128</v>
      </c>
      <c r="C115" s="95">
        <f t="shared" si="30"/>
        <v>0</v>
      </c>
      <c r="D115" s="95">
        <v>0.01</v>
      </c>
      <c r="E115" s="95">
        <f t="shared" si="26"/>
        <v>0.01</v>
      </c>
      <c r="F115" s="95"/>
      <c r="G115" s="95">
        <f t="shared" si="27"/>
        <v>0.01</v>
      </c>
      <c r="H115" s="95"/>
      <c r="I115" s="95"/>
      <c r="J115" s="95"/>
      <c r="K115" s="95"/>
      <c r="L115" s="95">
        <f t="shared" si="28"/>
        <v>0</v>
      </c>
      <c r="M115" s="95">
        <f t="shared" si="29"/>
        <v>0.01</v>
      </c>
      <c r="N115" s="10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</row>
    <row r="116" spans="1:26" ht="14.25">
      <c r="A116" s="197" t="s">
        <v>136</v>
      </c>
      <c r="B116" s="89" t="s">
        <v>227</v>
      </c>
      <c r="C116" s="95">
        <f t="shared" si="30"/>
        <v>0</v>
      </c>
      <c r="D116" s="95">
        <v>413.21</v>
      </c>
      <c r="E116" s="95">
        <f t="shared" si="26"/>
        <v>413.21</v>
      </c>
      <c r="F116" s="95">
        <v>1250</v>
      </c>
      <c r="G116" s="95">
        <f t="shared" si="27"/>
        <v>1663.21</v>
      </c>
      <c r="H116" s="95"/>
      <c r="I116" s="95">
        <v>214.32</v>
      </c>
      <c r="J116" s="95">
        <v>1440</v>
      </c>
      <c r="K116" s="95"/>
      <c r="L116" s="95">
        <f t="shared" si="28"/>
        <v>1654.32</v>
      </c>
      <c r="M116" s="95">
        <f t="shared" si="29"/>
        <v>8.8900000000001</v>
      </c>
      <c r="N116" s="171" t="s">
        <v>259</v>
      </c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</row>
    <row r="117" spans="1:26" ht="14.25">
      <c r="A117" s="89" t="s">
        <v>151</v>
      </c>
      <c r="B117" s="89" t="s">
        <v>260</v>
      </c>
      <c r="C117" s="95">
        <f t="shared" si="30"/>
        <v>0</v>
      </c>
      <c r="D117" s="95">
        <v>0.01</v>
      </c>
      <c r="E117" s="95">
        <f t="shared" si="26"/>
        <v>0.01</v>
      </c>
      <c r="F117" s="95"/>
      <c r="G117" s="95">
        <f t="shared" si="27"/>
        <v>0.01</v>
      </c>
      <c r="H117" s="95"/>
      <c r="I117" s="95"/>
      <c r="J117" s="95"/>
      <c r="K117" s="95"/>
      <c r="L117" s="95">
        <f t="shared" si="28"/>
        <v>0</v>
      </c>
      <c r="M117" s="95">
        <f t="shared" si="29"/>
        <v>0.01</v>
      </c>
      <c r="N117" s="10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</row>
    <row r="118" spans="1:26" ht="14.25">
      <c r="A118" s="197" t="s">
        <v>153</v>
      </c>
      <c r="B118" s="89" t="s">
        <v>261</v>
      </c>
      <c r="C118" s="95">
        <f t="shared" si="30"/>
        <v>0</v>
      </c>
      <c r="D118" s="95">
        <v>40766.92</v>
      </c>
      <c r="E118" s="95">
        <f t="shared" si="26"/>
        <v>40766.92</v>
      </c>
      <c r="F118" s="164">
        <f>+REFORMAS!C41+16730.33+9893.12</f>
        <v>32046.030000000006</v>
      </c>
      <c r="G118" s="95">
        <f t="shared" si="27"/>
        <v>72812.95000000001</v>
      </c>
      <c r="H118" s="95"/>
      <c r="I118" s="95"/>
      <c r="J118" s="95"/>
      <c r="K118" s="95">
        <v>50289.17</v>
      </c>
      <c r="L118" s="95">
        <f t="shared" si="28"/>
        <v>50289.17</v>
      </c>
      <c r="M118" s="95">
        <f t="shared" si="29"/>
        <v>22523.780000000013</v>
      </c>
      <c r="N118" s="173" t="s">
        <v>262</v>
      </c>
      <c r="O118" s="172"/>
      <c r="P118" s="172"/>
      <c r="Q118" s="172"/>
      <c r="R118" s="172"/>
      <c r="S118" s="166"/>
      <c r="T118" s="166"/>
      <c r="U118" s="166"/>
      <c r="V118" s="166"/>
      <c r="W118" s="166"/>
      <c r="X118" s="166"/>
      <c r="Y118" s="166"/>
      <c r="Z118" s="166"/>
    </row>
    <row r="119" spans="1:26" ht="14.25">
      <c r="A119" s="89" t="s">
        <v>154</v>
      </c>
      <c r="B119" s="89" t="s">
        <v>155</v>
      </c>
      <c r="C119" s="95">
        <f t="shared" si="30"/>
        <v>0</v>
      </c>
      <c r="D119" s="95">
        <v>1600</v>
      </c>
      <c r="E119" s="95">
        <f t="shared" si="26"/>
        <v>1600</v>
      </c>
      <c r="F119" s="95"/>
      <c r="G119" s="95">
        <f t="shared" si="27"/>
        <v>1600</v>
      </c>
      <c r="H119" s="95">
        <v>1500</v>
      </c>
      <c r="I119" s="95"/>
      <c r="J119" s="95"/>
      <c r="K119" s="95"/>
      <c r="L119" s="95">
        <f t="shared" si="28"/>
        <v>1500</v>
      </c>
      <c r="M119" s="95">
        <f t="shared" si="29"/>
        <v>100</v>
      </c>
      <c r="N119" s="10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</row>
    <row r="120" spans="1:26" ht="14.25">
      <c r="A120" s="89" t="s">
        <v>156</v>
      </c>
      <c r="B120" s="89" t="s">
        <v>157</v>
      </c>
      <c r="C120" s="95">
        <f t="shared" si="30"/>
        <v>0</v>
      </c>
      <c r="D120" s="95">
        <v>0.01</v>
      </c>
      <c r="E120" s="95">
        <f t="shared" si="26"/>
        <v>0.01</v>
      </c>
      <c r="F120" s="95"/>
      <c r="G120" s="95">
        <f t="shared" si="27"/>
        <v>0.01</v>
      </c>
      <c r="H120" s="95"/>
      <c r="I120" s="95"/>
      <c r="J120" s="95"/>
      <c r="K120" s="95"/>
      <c r="L120" s="95">
        <f t="shared" si="28"/>
        <v>0</v>
      </c>
      <c r="M120" s="95">
        <f t="shared" si="29"/>
        <v>0.01</v>
      </c>
      <c r="N120" s="10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</row>
    <row r="121" spans="1:26" ht="14.25">
      <c r="A121" s="197" t="s">
        <v>158</v>
      </c>
      <c r="B121" s="89" t="s">
        <v>263</v>
      </c>
      <c r="C121" s="95">
        <f t="shared" si="30"/>
        <v>0</v>
      </c>
      <c r="D121" s="95">
        <v>0.01</v>
      </c>
      <c r="E121" s="95">
        <f t="shared" si="26"/>
        <v>0.01</v>
      </c>
      <c r="F121" s="95"/>
      <c r="G121" s="95">
        <f t="shared" si="27"/>
        <v>0.01</v>
      </c>
      <c r="H121" s="95"/>
      <c r="I121" s="95"/>
      <c r="J121" s="95"/>
      <c r="K121" s="95"/>
      <c r="L121" s="95">
        <f t="shared" si="28"/>
        <v>0</v>
      </c>
      <c r="M121" s="95">
        <f t="shared" si="29"/>
        <v>0.01</v>
      </c>
      <c r="N121" s="10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</row>
    <row r="122" spans="1:26" ht="14.25">
      <c r="A122" s="89" t="s">
        <v>162</v>
      </c>
      <c r="B122" s="89" t="s">
        <v>163</v>
      </c>
      <c r="C122" s="95">
        <f t="shared" si="30"/>
        <v>0</v>
      </c>
      <c r="D122" s="95">
        <v>0.01</v>
      </c>
      <c r="E122" s="95">
        <f t="shared" si="26"/>
        <v>0.01</v>
      </c>
      <c r="F122" s="95"/>
      <c r="G122" s="95">
        <f t="shared" si="27"/>
        <v>0.01</v>
      </c>
      <c r="H122" s="95"/>
      <c r="I122" s="95"/>
      <c r="J122" s="95"/>
      <c r="K122" s="95"/>
      <c r="L122" s="95">
        <f t="shared" si="28"/>
        <v>0</v>
      </c>
      <c r="M122" s="95">
        <f t="shared" si="29"/>
        <v>0.01</v>
      </c>
      <c r="N122" s="10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</row>
    <row r="123" spans="1:26" ht="14.25">
      <c r="A123" s="197" t="s">
        <v>164</v>
      </c>
      <c r="B123" s="89" t="s">
        <v>165</v>
      </c>
      <c r="C123" s="95">
        <f t="shared" si="30"/>
        <v>0</v>
      </c>
      <c r="D123" s="95">
        <v>0.01</v>
      </c>
      <c r="E123" s="95">
        <f t="shared" si="26"/>
        <v>0.01</v>
      </c>
      <c r="F123" s="95"/>
      <c r="G123" s="95">
        <f t="shared" si="27"/>
        <v>0.01</v>
      </c>
      <c r="H123" s="95"/>
      <c r="I123" s="95"/>
      <c r="J123" s="95"/>
      <c r="K123" s="95"/>
      <c r="L123" s="95">
        <f t="shared" si="28"/>
        <v>0</v>
      </c>
      <c r="M123" s="95">
        <f t="shared" si="29"/>
        <v>0.01</v>
      </c>
      <c r="N123" s="10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</row>
    <row r="124" spans="1:26" ht="14.25">
      <c r="A124" s="89" t="s">
        <v>171</v>
      </c>
      <c r="B124" s="89" t="s">
        <v>243</v>
      </c>
      <c r="C124" s="95">
        <f t="shared" si="30"/>
        <v>0</v>
      </c>
      <c r="D124" s="95">
        <v>1631.63</v>
      </c>
      <c r="E124" s="95">
        <f t="shared" si="26"/>
        <v>1631.63</v>
      </c>
      <c r="F124" s="95">
        <f>-REFORMAS!D31</f>
        <v>-1500</v>
      </c>
      <c r="G124" s="95">
        <f t="shared" si="27"/>
        <v>131.6300000000001</v>
      </c>
      <c r="H124" s="95"/>
      <c r="I124" s="95"/>
      <c r="J124" s="95"/>
      <c r="K124" s="95"/>
      <c r="L124" s="95">
        <f t="shared" si="28"/>
        <v>0</v>
      </c>
      <c r="M124" s="95">
        <f t="shared" si="29"/>
        <v>131.6300000000001</v>
      </c>
      <c r="N124" s="10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</row>
    <row r="125" spans="1:26" ht="14.25">
      <c r="A125" s="197" t="s">
        <v>175</v>
      </c>
      <c r="B125" s="89" t="s">
        <v>264</v>
      </c>
      <c r="C125" s="95">
        <f t="shared" si="30"/>
        <v>0</v>
      </c>
      <c r="D125" s="95">
        <v>10000</v>
      </c>
      <c r="E125" s="95">
        <f t="shared" si="26"/>
        <v>10000</v>
      </c>
      <c r="F125" s="200">
        <v>-10000</v>
      </c>
      <c r="G125" s="95">
        <f t="shared" si="27"/>
        <v>0</v>
      </c>
      <c r="H125" s="95"/>
      <c r="I125" s="95"/>
      <c r="J125" s="95"/>
      <c r="K125" s="95"/>
      <c r="L125" s="95">
        <f t="shared" si="28"/>
        <v>0</v>
      </c>
      <c r="M125" s="95">
        <f t="shared" si="29"/>
        <v>0</v>
      </c>
      <c r="N125" s="171" t="s">
        <v>265</v>
      </c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</row>
    <row r="126" spans="1:26" ht="14.25">
      <c r="A126" s="89"/>
      <c r="B126" s="156" t="s">
        <v>6</v>
      </c>
      <c r="C126" s="159">
        <f aca="true" t="shared" si="31" ref="C126:M126">SUM(C110:C125)</f>
        <v>0</v>
      </c>
      <c r="D126" s="159">
        <f t="shared" si="31"/>
        <v>77273.59999999998</v>
      </c>
      <c r="E126" s="159">
        <f t="shared" si="31"/>
        <v>77273.59999999998</v>
      </c>
      <c r="F126" s="159">
        <f t="shared" si="31"/>
        <v>19546.030000000006</v>
      </c>
      <c r="G126" s="159">
        <f t="shared" si="31"/>
        <v>96819.62999999999</v>
      </c>
      <c r="H126" s="159">
        <f t="shared" si="31"/>
        <v>1500</v>
      </c>
      <c r="I126" s="159">
        <f t="shared" si="31"/>
        <v>3701.92</v>
      </c>
      <c r="J126" s="159">
        <f t="shared" si="31"/>
        <v>2440</v>
      </c>
      <c r="K126" s="159">
        <f t="shared" si="31"/>
        <v>51488.689999999995</v>
      </c>
      <c r="L126" s="159">
        <f t="shared" si="31"/>
        <v>59130.61</v>
      </c>
      <c r="M126" s="159">
        <f t="shared" si="31"/>
        <v>37689.02000000002</v>
      </c>
      <c r="N126" s="10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</row>
    <row r="127" spans="1:26" ht="14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</row>
    <row r="128" spans="1:26" ht="14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</row>
    <row r="129" spans="1:26" ht="14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</row>
    <row r="130" spans="1:26" ht="14.25">
      <c r="A130" s="228" t="s">
        <v>205</v>
      </c>
      <c r="B130" s="228"/>
      <c r="C130" s="228"/>
      <c r="D130" s="228"/>
      <c r="E130" s="228"/>
      <c r="F130" s="10"/>
      <c r="G130" s="10"/>
      <c r="H130" s="10"/>
      <c r="I130" s="10"/>
      <c r="J130" s="10"/>
      <c r="K130" s="10"/>
      <c r="L130" s="10"/>
      <c r="M130" s="10"/>
      <c r="N130" s="10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</row>
    <row r="131" spans="1:26" ht="14.25">
      <c r="A131" s="228" t="s">
        <v>206</v>
      </c>
      <c r="B131" s="228"/>
      <c r="C131" s="228"/>
      <c r="D131" s="228"/>
      <c r="E131" s="228"/>
      <c r="F131" s="10"/>
      <c r="G131" s="10"/>
      <c r="H131" s="10"/>
      <c r="I131" s="10"/>
      <c r="J131" s="10"/>
      <c r="K131" s="10"/>
      <c r="L131" s="10"/>
      <c r="M131" s="10"/>
      <c r="N131" s="10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</row>
    <row r="132" spans="1:26" ht="14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</row>
    <row r="133" spans="1:26" ht="14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</row>
    <row r="134" spans="1:26" ht="14.25">
      <c r="A134" s="150" t="s">
        <v>207</v>
      </c>
      <c r="B134" s="150" t="s">
        <v>238</v>
      </c>
      <c r="C134" s="153"/>
      <c r="D134" s="153"/>
      <c r="E134" s="153"/>
      <c r="F134" s="10"/>
      <c r="G134" s="10"/>
      <c r="H134" s="10"/>
      <c r="I134" s="10"/>
      <c r="J134" s="10"/>
      <c r="K134" s="10"/>
      <c r="L134" s="10"/>
      <c r="M134" s="10"/>
      <c r="N134" s="10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</row>
    <row r="135" spans="1:26" ht="14.25">
      <c r="A135" s="150" t="s">
        <v>266</v>
      </c>
      <c r="B135" s="150" t="s">
        <v>267</v>
      </c>
      <c r="C135" s="153"/>
      <c r="D135" s="174"/>
      <c r="E135" s="153"/>
      <c r="F135" s="10"/>
      <c r="G135" s="10"/>
      <c r="H135" s="10"/>
      <c r="I135" s="10"/>
      <c r="J135" s="10"/>
      <c r="K135" s="10"/>
      <c r="L135" s="10"/>
      <c r="M135" s="10"/>
      <c r="N135" s="10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</row>
    <row r="136" spans="1:26" ht="14.25">
      <c r="A136" s="153"/>
      <c r="B136" s="153"/>
      <c r="C136" s="153"/>
      <c r="D136" s="153"/>
      <c r="E136" s="153"/>
      <c r="F136" s="10"/>
      <c r="G136" s="10"/>
      <c r="H136" s="227" t="s">
        <v>36</v>
      </c>
      <c r="I136" s="227"/>
      <c r="J136" s="227"/>
      <c r="K136" s="227"/>
      <c r="L136" s="227"/>
      <c r="M136" s="10"/>
      <c r="N136" s="10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</row>
    <row r="137" spans="1:26" ht="14.25">
      <c r="A137" s="108" t="s">
        <v>2</v>
      </c>
      <c r="B137" s="108" t="s">
        <v>211</v>
      </c>
      <c r="C137" s="108" t="s">
        <v>34</v>
      </c>
      <c r="D137" s="108" t="s">
        <v>212</v>
      </c>
      <c r="E137" s="108" t="s">
        <v>213</v>
      </c>
      <c r="F137" s="156" t="s">
        <v>5</v>
      </c>
      <c r="G137" s="156" t="s">
        <v>6</v>
      </c>
      <c r="H137" s="156" t="s">
        <v>214</v>
      </c>
      <c r="I137" s="156" t="s">
        <v>215</v>
      </c>
      <c r="J137" s="156" t="s">
        <v>216</v>
      </c>
      <c r="K137" s="156" t="s">
        <v>217</v>
      </c>
      <c r="L137" s="156" t="s">
        <v>6</v>
      </c>
      <c r="M137" s="156" t="s">
        <v>6</v>
      </c>
      <c r="N137" s="10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</row>
    <row r="138" spans="1:26" ht="14.25">
      <c r="A138" s="197" t="s">
        <v>115</v>
      </c>
      <c r="B138" s="89" t="s">
        <v>268</v>
      </c>
      <c r="C138" s="95">
        <f>+D138*0</f>
        <v>0</v>
      </c>
      <c r="D138" s="95">
        <v>200</v>
      </c>
      <c r="E138" s="95">
        <f>+C138+D138</f>
        <v>200</v>
      </c>
      <c r="F138" s="95">
        <f>60+1316</f>
        <v>1376</v>
      </c>
      <c r="G138" s="95">
        <f>+E138+F138</f>
        <v>1576</v>
      </c>
      <c r="H138" s="95"/>
      <c r="I138" s="95"/>
      <c r="J138" s="95"/>
      <c r="K138" s="95">
        <v>1575.27</v>
      </c>
      <c r="L138" s="95">
        <f>+H138+I138+J138+K138</f>
        <v>1575.27</v>
      </c>
      <c r="M138" s="95">
        <f>+G138-L138</f>
        <v>0.7300000000000182</v>
      </c>
      <c r="N138" s="171" t="s">
        <v>269</v>
      </c>
      <c r="O138" s="172"/>
      <c r="P138" s="172"/>
      <c r="Q138" s="172"/>
      <c r="R138" s="172"/>
      <c r="S138" s="172"/>
      <c r="T138" s="166"/>
      <c r="U138" s="166"/>
      <c r="V138" s="166"/>
      <c r="W138" s="166"/>
      <c r="X138" s="166"/>
      <c r="Y138" s="166"/>
      <c r="Z138" s="166"/>
    </row>
    <row r="139" spans="1:26" ht="14.25">
      <c r="A139" s="197" t="s">
        <v>117</v>
      </c>
      <c r="B139" s="89" t="s">
        <v>270</v>
      </c>
      <c r="C139" s="95"/>
      <c r="D139" s="95">
        <v>200</v>
      </c>
      <c r="E139" s="95">
        <f>+C139+D139</f>
        <v>200</v>
      </c>
      <c r="F139" s="95"/>
      <c r="G139" s="95">
        <f aca="true" t="shared" si="32" ref="G139:G141">+E139+F139</f>
        <v>200</v>
      </c>
      <c r="H139" s="95"/>
      <c r="I139" s="95"/>
      <c r="J139" s="95"/>
      <c r="K139" s="95"/>
      <c r="L139" s="95">
        <f>+H139+I139+J139+K139</f>
        <v>0</v>
      </c>
      <c r="M139" s="95">
        <f>+G139-L139</f>
        <v>200</v>
      </c>
      <c r="N139" s="171" t="s">
        <v>271</v>
      </c>
      <c r="O139" s="172"/>
      <c r="P139" s="172"/>
      <c r="Q139" s="172"/>
      <c r="R139" s="172"/>
      <c r="S139" s="172"/>
      <c r="T139" s="166"/>
      <c r="U139" s="166"/>
      <c r="V139" s="166"/>
      <c r="W139" s="166"/>
      <c r="X139" s="166"/>
      <c r="Y139" s="166"/>
      <c r="Z139" s="166"/>
    </row>
    <row r="140" spans="1:26" ht="14.25">
      <c r="A140" s="89" t="s">
        <v>136</v>
      </c>
      <c r="B140" s="89" t="s">
        <v>272</v>
      </c>
      <c r="C140" s="95">
        <f>+D140*0</f>
        <v>0</v>
      </c>
      <c r="D140" s="95">
        <f>5000+2500</f>
        <v>7500</v>
      </c>
      <c r="E140" s="95">
        <f>+C140+D140</f>
        <v>7500</v>
      </c>
      <c r="F140" s="175">
        <f>-1316-REFORMAS!D46+2500</f>
        <v>-2516</v>
      </c>
      <c r="G140" s="95">
        <f t="shared" si="32"/>
        <v>4984</v>
      </c>
      <c r="H140" s="95"/>
      <c r="I140" s="95">
        <v>1463.8</v>
      </c>
      <c r="J140" s="95"/>
      <c r="K140" s="95">
        <v>2925.71</v>
      </c>
      <c r="L140" s="95">
        <f>+H140+I140+J140+K140</f>
        <v>4389.51</v>
      </c>
      <c r="M140" s="95">
        <f>+G140-L140</f>
        <v>594.4899999999998</v>
      </c>
      <c r="N140" s="171" t="s">
        <v>273</v>
      </c>
      <c r="O140" s="172"/>
      <c r="P140" s="172"/>
      <c r="Q140" s="172"/>
      <c r="R140" s="172"/>
      <c r="S140" s="172"/>
      <c r="T140" s="166"/>
      <c r="U140" s="166"/>
      <c r="V140" s="166"/>
      <c r="W140" s="166"/>
      <c r="X140" s="166"/>
      <c r="Y140" s="166"/>
      <c r="Z140" s="166"/>
    </row>
    <row r="141" spans="1:26" ht="14.25">
      <c r="A141" s="198" t="s">
        <v>150</v>
      </c>
      <c r="B141" s="176" t="s">
        <v>274</v>
      </c>
      <c r="C141" s="176"/>
      <c r="D141" s="176">
        <v>10000.02</v>
      </c>
      <c r="E141" s="95">
        <f>+C141+D141</f>
        <v>10000.02</v>
      </c>
      <c r="F141" s="177"/>
      <c r="G141" s="95">
        <f t="shared" si="32"/>
        <v>10000.02</v>
      </c>
      <c r="H141" s="176"/>
      <c r="I141" s="176">
        <v>10000</v>
      </c>
      <c r="J141" s="176"/>
      <c r="K141" s="176"/>
      <c r="L141" s="95">
        <f>+H141+I141+J141+K141</f>
        <v>10000</v>
      </c>
      <c r="M141" s="95">
        <f>+G141-L141</f>
        <v>0.020000000000436557</v>
      </c>
      <c r="N141" s="147" t="s">
        <v>275</v>
      </c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</row>
    <row r="142" spans="1:26" ht="14.25">
      <c r="A142" s="10"/>
      <c r="B142" s="178" t="s">
        <v>6</v>
      </c>
      <c r="C142" s="179">
        <f>SUM(C138:C140)</f>
        <v>0</v>
      </c>
      <c r="D142" s="179">
        <f>SUM(D138:D141)</f>
        <v>17900.02</v>
      </c>
      <c r="E142" s="179">
        <f>SUM(E138:E141)</f>
        <v>17900.02</v>
      </c>
      <c r="F142" s="179">
        <f aca="true" t="shared" si="33" ref="F142:M142">SUM(F138:F141)</f>
        <v>-1140</v>
      </c>
      <c r="G142" s="179">
        <f t="shared" si="33"/>
        <v>16760.02</v>
      </c>
      <c r="H142" s="179">
        <f t="shared" si="33"/>
        <v>0</v>
      </c>
      <c r="I142" s="179">
        <f t="shared" si="33"/>
        <v>11463.8</v>
      </c>
      <c r="J142" s="179">
        <f t="shared" si="33"/>
        <v>0</v>
      </c>
      <c r="K142" s="179">
        <f t="shared" si="33"/>
        <v>4500.98</v>
      </c>
      <c r="L142" s="179">
        <f t="shared" si="33"/>
        <v>15964.78</v>
      </c>
      <c r="M142" s="179">
        <f t="shared" si="33"/>
        <v>795.2400000000002</v>
      </c>
      <c r="N142" s="10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</row>
    <row r="143" spans="1:26" ht="14.25">
      <c r="A143" s="10"/>
      <c r="B143" s="152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0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</row>
    <row r="144" spans="1:26" ht="14.25">
      <c r="A144" s="10"/>
      <c r="B144" s="152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0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</row>
    <row r="145" spans="1:26" ht="14.25">
      <c r="A145" s="10"/>
      <c r="B145" s="152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0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</row>
    <row r="146" spans="1:26" ht="14.25">
      <c r="A146" s="228" t="s">
        <v>205</v>
      </c>
      <c r="B146" s="228"/>
      <c r="C146" s="228"/>
      <c r="D146" s="228"/>
      <c r="E146" s="228"/>
      <c r="F146" s="10"/>
      <c r="G146" s="10"/>
      <c r="H146" s="10"/>
      <c r="I146" s="10"/>
      <c r="J146" s="10"/>
      <c r="K146" s="10"/>
      <c r="L146" s="10"/>
      <c r="M146" s="10"/>
      <c r="N146" s="10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</row>
    <row r="147" spans="1:26" ht="14.25">
      <c r="A147" s="228" t="s">
        <v>206</v>
      </c>
      <c r="B147" s="228"/>
      <c r="C147" s="228"/>
      <c r="D147" s="228"/>
      <c r="E147" s="228"/>
      <c r="F147" s="10"/>
      <c r="G147" s="10"/>
      <c r="H147" s="10"/>
      <c r="I147" s="10"/>
      <c r="J147" s="10"/>
      <c r="K147" s="10"/>
      <c r="L147" s="10"/>
      <c r="M147" s="10"/>
      <c r="N147" s="10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</row>
    <row r="148" spans="1:26" ht="14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</row>
    <row r="149" spans="1:26" ht="14.25">
      <c r="A149" s="150" t="s">
        <v>207</v>
      </c>
      <c r="B149" s="150" t="s">
        <v>238</v>
      </c>
      <c r="C149" s="163"/>
      <c r="D149" s="153"/>
      <c r="E149" s="153"/>
      <c r="F149" s="10"/>
      <c r="G149" s="10"/>
      <c r="H149" s="10"/>
      <c r="I149" s="10"/>
      <c r="J149" s="10"/>
      <c r="K149" s="10"/>
      <c r="L149" s="10"/>
      <c r="M149" s="10"/>
      <c r="N149" s="10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</row>
    <row r="150" spans="1:26" ht="14.25">
      <c r="A150" s="150" t="s">
        <v>276</v>
      </c>
      <c r="B150" s="150" t="s">
        <v>277</v>
      </c>
      <c r="C150" s="163"/>
      <c r="D150" s="174"/>
      <c r="E150" s="153"/>
      <c r="F150" s="10"/>
      <c r="G150" s="10"/>
      <c r="H150" s="10"/>
      <c r="I150" s="10"/>
      <c r="J150" s="10"/>
      <c r="K150" s="10"/>
      <c r="L150" s="10"/>
      <c r="M150" s="10"/>
      <c r="N150" s="10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</row>
    <row r="151" spans="1:26" ht="14.25">
      <c r="A151" s="153"/>
      <c r="B151" s="153"/>
      <c r="C151" s="153"/>
      <c r="D151" s="153"/>
      <c r="E151" s="153"/>
      <c r="F151" s="10"/>
      <c r="G151" s="10"/>
      <c r="H151" s="227" t="s">
        <v>255</v>
      </c>
      <c r="I151" s="227"/>
      <c r="J151" s="227"/>
      <c r="K151" s="227"/>
      <c r="L151" s="227"/>
      <c r="M151" s="10"/>
      <c r="N151" s="10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</row>
    <row r="152" spans="1:26" ht="14.25">
      <c r="A152" s="108" t="s">
        <v>2</v>
      </c>
      <c r="B152" s="108" t="s">
        <v>211</v>
      </c>
      <c r="C152" s="108" t="s">
        <v>34</v>
      </c>
      <c r="D152" s="108" t="s">
        <v>212</v>
      </c>
      <c r="E152" s="108" t="s">
        <v>213</v>
      </c>
      <c r="F152" s="156" t="s">
        <v>5</v>
      </c>
      <c r="G152" s="156" t="s">
        <v>6</v>
      </c>
      <c r="H152" s="156" t="s">
        <v>214</v>
      </c>
      <c r="I152" s="156" t="s">
        <v>215</v>
      </c>
      <c r="J152" s="156" t="s">
        <v>216</v>
      </c>
      <c r="K152" s="156" t="s">
        <v>217</v>
      </c>
      <c r="L152" s="156" t="s">
        <v>6</v>
      </c>
      <c r="M152" s="156" t="s">
        <v>278</v>
      </c>
      <c r="N152" s="10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</row>
    <row r="153" spans="1:26" ht="14.25">
      <c r="A153" s="89" t="s">
        <v>98</v>
      </c>
      <c r="B153" s="89" t="s">
        <v>218</v>
      </c>
      <c r="C153" s="95">
        <f aca="true" t="shared" si="34" ref="C153:C166">+D153*0</f>
        <v>0</v>
      </c>
      <c r="D153" s="95">
        <v>0.01</v>
      </c>
      <c r="E153" s="95">
        <f aca="true" t="shared" si="35" ref="E153:E166">+D153+C153</f>
        <v>0.01</v>
      </c>
      <c r="F153" s="95"/>
      <c r="G153" s="95">
        <f aca="true" t="shared" si="36" ref="G153:G160">+E153+F153</f>
        <v>0.01</v>
      </c>
      <c r="H153" s="95"/>
      <c r="I153" s="95"/>
      <c r="J153" s="95"/>
      <c r="K153" s="95"/>
      <c r="L153" s="95">
        <f aca="true" t="shared" si="37" ref="L153:L160">+H153+I153+J153+K153</f>
        <v>0</v>
      </c>
      <c r="M153" s="95">
        <f aca="true" t="shared" si="38" ref="M153:M166">+G153-L153</f>
        <v>0.01</v>
      </c>
      <c r="N153" s="171" t="s">
        <v>279</v>
      </c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</row>
    <row r="154" spans="1:26" ht="14.25">
      <c r="A154" s="197" t="s">
        <v>100</v>
      </c>
      <c r="B154" s="89" t="s">
        <v>280</v>
      </c>
      <c r="C154" s="95">
        <f t="shared" si="34"/>
        <v>0</v>
      </c>
      <c r="D154" s="95">
        <v>15000</v>
      </c>
      <c r="E154" s="95">
        <f t="shared" si="35"/>
        <v>15000</v>
      </c>
      <c r="F154" s="164">
        <f>5000+REFORMAS!C42-2829</f>
        <v>7171</v>
      </c>
      <c r="G154" s="95">
        <f t="shared" si="36"/>
        <v>22171</v>
      </c>
      <c r="I154" s="95">
        <v>2459</v>
      </c>
      <c r="J154" s="95">
        <v>15050</v>
      </c>
      <c r="K154" s="95"/>
      <c r="L154" s="95">
        <f t="shared" si="37"/>
        <v>17509</v>
      </c>
      <c r="M154" s="95">
        <f t="shared" si="38"/>
        <v>4662</v>
      </c>
      <c r="N154" s="171" t="s">
        <v>281</v>
      </c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</row>
    <row r="155" spans="1:26" ht="14.25">
      <c r="A155" s="197" t="s">
        <v>101</v>
      </c>
      <c r="B155" s="89" t="s">
        <v>282</v>
      </c>
      <c r="C155" s="95">
        <f t="shared" si="34"/>
        <v>0</v>
      </c>
      <c r="D155" s="95">
        <v>0.01</v>
      </c>
      <c r="E155" s="95">
        <f t="shared" si="35"/>
        <v>0.01</v>
      </c>
      <c r="F155" s="95"/>
      <c r="G155" s="95">
        <f t="shared" si="36"/>
        <v>0.01</v>
      </c>
      <c r="H155" s="95"/>
      <c r="I155" s="95"/>
      <c r="J155" s="95"/>
      <c r="K155" s="95"/>
      <c r="L155" s="95">
        <f t="shared" si="37"/>
        <v>0</v>
      </c>
      <c r="M155" s="95">
        <f t="shared" si="38"/>
        <v>0.01</v>
      </c>
      <c r="N155" s="10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</row>
    <row r="156" spans="1:26" ht="14.25">
      <c r="A156" s="197" t="s">
        <v>105</v>
      </c>
      <c r="B156" s="89" t="s">
        <v>256</v>
      </c>
      <c r="C156" s="95">
        <v>0</v>
      </c>
      <c r="D156" s="95">
        <v>0</v>
      </c>
      <c r="E156" s="95">
        <v>0</v>
      </c>
      <c r="F156" s="165">
        <f>+REFORMAS!C24</f>
        <v>6779</v>
      </c>
      <c r="G156" s="95">
        <f t="shared" si="36"/>
        <v>6779</v>
      </c>
      <c r="H156" s="95"/>
      <c r="I156" s="95"/>
      <c r="J156" s="95"/>
      <c r="K156" s="95">
        <v>6000</v>
      </c>
      <c r="L156" s="95">
        <f t="shared" si="37"/>
        <v>6000</v>
      </c>
      <c r="M156" s="95">
        <f t="shared" si="38"/>
        <v>779</v>
      </c>
      <c r="N156" s="10" t="s">
        <v>283</v>
      </c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</row>
    <row r="157" spans="1:26" ht="14.25">
      <c r="A157" s="197" t="s">
        <v>121</v>
      </c>
      <c r="B157" s="89" t="s">
        <v>122</v>
      </c>
      <c r="C157" s="95">
        <f t="shared" si="34"/>
        <v>0</v>
      </c>
      <c r="D157" s="95">
        <v>15680</v>
      </c>
      <c r="E157" s="95">
        <f t="shared" si="35"/>
        <v>15680</v>
      </c>
      <c r="F157" s="175">
        <f>-5000-REFORMAS!D47</f>
        <v>-15680</v>
      </c>
      <c r="G157" s="95">
        <f t="shared" si="36"/>
        <v>0</v>
      </c>
      <c r="H157" s="95"/>
      <c r="I157" s="95"/>
      <c r="J157" s="95"/>
      <c r="K157" s="95"/>
      <c r="L157" s="95">
        <f t="shared" si="37"/>
        <v>0</v>
      </c>
      <c r="M157" s="95">
        <f t="shared" si="38"/>
        <v>0</v>
      </c>
      <c r="N157" s="171" t="s">
        <v>284</v>
      </c>
      <c r="O157" s="172"/>
      <c r="P157" s="172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</row>
    <row r="158" spans="1:26" ht="14.25">
      <c r="A158" s="197" t="s">
        <v>123</v>
      </c>
      <c r="B158" s="89" t="s">
        <v>285</v>
      </c>
      <c r="C158" s="95">
        <f t="shared" si="34"/>
        <v>0</v>
      </c>
      <c r="D158" s="95">
        <f>+'DISTRIBUTIVO SUELDOS Y SALARIOS'!G87</f>
        <v>4355.590399999999</v>
      </c>
      <c r="E158" s="95">
        <f t="shared" si="35"/>
        <v>4355.590399999999</v>
      </c>
      <c r="F158" s="180">
        <v>-4355</v>
      </c>
      <c r="G158" s="95">
        <f t="shared" si="36"/>
        <v>0.5903999999991356</v>
      </c>
      <c r="H158" s="95"/>
      <c r="I158" s="95"/>
      <c r="J158" s="95"/>
      <c r="K158" s="95"/>
      <c r="L158" s="95">
        <f t="shared" si="37"/>
        <v>0</v>
      </c>
      <c r="M158" s="95">
        <f t="shared" si="38"/>
        <v>0.5903999999991356</v>
      </c>
      <c r="N158" s="171"/>
      <c r="O158" s="172"/>
      <c r="P158" s="172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</row>
    <row r="159" spans="1:26" ht="14.25">
      <c r="A159" s="197" t="s">
        <v>127</v>
      </c>
      <c r="B159" s="89" t="s">
        <v>286</v>
      </c>
      <c r="C159" s="95">
        <f t="shared" si="34"/>
        <v>0</v>
      </c>
      <c r="D159" s="95">
        <v>0.01</v>
      </c>
      <c r="E159" s="95">
        <f t="shared" si="35"/>
        <v>0.01</v>
      </c>
      <c r="F159" s="200">
        <f>3950+2829</f>
        <v>6779</v>
      </c>
      <c r="G159" s="95">
        <f t="shared" si="36"/>
        <v>6779.01</v>
      </c>
      <c r="H159" s="95"/>
      <c r="I159" s="95"/>
      <c r="J159" s="95"/>
      <c r="K159" s="95">
        <v>6459</v>
      </c>
      <c r="L159" s="95">
        <f t="shared" si="37"/>
        <v>6459</v>
      </c>
      <c r="M159" s="95">
        <f t="shared" si="38"/>
        <v>320.0100000000002</v>
      </c>
      <c r="N159" s="171"/>
      <c r="O159" s="172"/>
      <c r="P159" s="172"/>
      <c r="Q159" s="202"/>
      <c r="R159" s="166"/>
      <c r="S159" s="166"/>
      <c r="T159" s="166"/>
      <c r="U159" s="166"/>
      <c r="V159" s="166"/>
      <c r="W159" s="166"/>
      <c r="X159" s="166"/>
      <c r="Y159" s="166"/>
      <c r="Z159" s="166"/>
    </row>
    <row r="160" spans="1:26" ht="14.25">
      <c r="A160" s="89" t="s">
        <v>131</v>
      </c>
      <c r="B160" s="89" t="s">
        <v>132</v>
      </c>
      <c r="C160" s="95">
        <f t="shared" si="34"/>
        <v>0</v>
      </c>
      <c r="D160" s="95">
        <v>1</v>
      </c>
      <c r="E160" s="95">
        <f t="shared" si="35"/>
        <v>1</v>
      </c>
      <c r="F160" s="95"/>
      <c r="G160" s="95">
        <f t="shared" si="36"/>
        <v>1</v>
      </c>
      <c r="H160" s="95"/>
      <c r="I160" s="95"/>
      <c r="J160" s="95"/>
      <c r="K160" s="95"/>
      <c r="L160" s="95">
        <f t="shared" si="37"/>
        <v>0</v>
      </c>
      <c r="M160" s="95">
        <f t="shared" si="38"/>
        <v>1</v>
      </c>
      <c r="N160" s="10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</row>
    <row r="161" spans="1:26" ht="14.25">
      <c r="A161" s="89" t="s">
        <v>134</v>
      </c>
      <c r="B161" s="89" t="s">
        <v>135</v>
      </c>
      <c r="C161" s="95">
        <f t="shared" si="34"/>
        <v>0</v>
      </c>
      <c r="D161" s="95">
        <v>1</v>
      </c>
      <c r="E161" s="95">
        <f t="shared" si="35"/>
        <v>1</v>
      </c>
      <c r="F161" s="95"/>
      <c r="G161" s="95">
        <f aca="true" t="shared" si="39" ref="G161:G166">+E161+F161</f>
        <v>1</v>
      </c>
      <c r="H161" s="95"/>
      <c r="I161" s="95"/>
      <c r="J161" s="95"/>
      <c r="K161" s="95"/>
      <c r="L161" s="95">
        <f aca="true" t="shared" si="40" ref="L161:L166">+H161+I161+J161+K161</f>
        <v>0</v>
      </c>
      <c r="M161" s="95">
        <f t="shared" si="38"/>
        <v>1</v>
      </c>
      <c r="N161" s="10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</row>
    <row r="162" spans="1:26" ht="14.25">
      <c r="A162" s="89" t="s">
        <v>151</v>
      </c>
      <c r="B162" s="89" t="s">
        <v>260</v>
      </c>
      <c r="C162" s="95">
        <f t="shared" si="34"/>
        <v>0</v>
      </c>
      <c r="D162" s="95">
        <v>0.99</v>
      </c>
      <c r="E162" s="95">
        <f t="shared" si="35"/>
        <v>0.99</v>
      </c>
      <c r="F162" s="95"/>
      <c r="G162" s="95">
        <f t="shared" si="39"/>
        <v>0.99</v>
      </c>
      <c r="H162" s="95"/>
      <c r="I162" s="95"/>
      <c r="J162" s="95"/>
      <c r="K162" s="95"/>
      <c r="L162" s="95">
        <f t="shared" si="40"/>
        <v>0</v>
      </c>
      <c r="M162" s="95">
        <f t="shared" si="38"/>
        <v>0.99</v>
      </c>
      <c r="N162" s="10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</row>
    <row r="163" spans="1:26" ht="14.25">
      <c r="A163" s="197" t="s">
        <v>158</v>
      </c>
      <c r="B163" s="89" t="s">
        <v>263</v>
      </c>
      <c r="C163" s="95">
        <f t="shared" si="34"/>
        <v>0</v>
      </c>
      <c r="D163" s="95">
        <v>0.01</v>
      </c>
      <c r="E163" s="95">
        <f t="shared" si="35"/>
        <v>0.01</v>
      </c>
      <c r="F163" s="95"/>
      <c r="G163" s="95">
        <f t="shared" si="39"/>
        <v>0.01</v>
      </c>
      <c r="H163" s="95"/>
      <c r="I163" s="95"/>
      <c r="J163" s="95"/>
      <c r="K163" s="95"/>
      <c r="L163" s="95">
        <f t="shared" si="40"/>
        <v>0</v>
      </c>
      <c r="M163" s="95">
        <f t="shared" si="38"/>
        <v>0.01</v>
      </c>
      <c r="N163" s="10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</row>
    <row r="164" spans="1:26" ht="14.25">
      <c r="A164" s="197" t="s">
        <v>162</v>
      </c>
      <c r="B164" s="89" t="s">
        <v>163</v>
      </c>
      <c r="C164" s="95">
        <f t="shared" si="34"/>
        <v>0</v>
      </c>
      <c r="D164" s="95">
        <v>0</v>
      </c>
      <c r="E164" s="95">
        <f t="shared" si="35"/>
        <v>0</v>
      </c>
      <c r="F164" s="164">
        <f>+REFORMAS!C40</f>
        <v>3000</v>
      </c>
      <c r="G164" s="95">
        <f t="shared" si="39"/>
        <v>3000</v>
      </c>
      <c r="H164" s="95"/>
      <c r="I164" s="95"/>
      <c r="J164" s="95"/>
      <c r="K164" s="95">
        <v>2603.27</v>
      </c>
      <c r="L164" s="95">
        <f t="shared" si="40"/>
        <v>2603.27</v>
      </c>
      <c r="M164" s="95">
        <f t="shared" si="38"/>
        <v>396.73</v>
      </c>
      <c r="N164" s="10" t="s">
        <v>287</v>
      </c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</row>
    <row r="165" spans="1:26" ht="14.25">
      <c r="A165" s="89" t="s">
        <v>164</v>
      </c>
      <c r="B165" s="89" t="s">
        <v>288</v>
      </c>
      <c r="C165" s="95">
        <f t="shared" si="34"/>
        <v>0</v>
      </c>
      <c r="D165" s="95">
        <v>1</v>
      </c>
      <c r="E165" s="95">
        <f t="shared" si="35"/>
        <v>1</v>
      </c>
      <c r="F165" s="95"/>
      <c r="G165" s="95">
        <f t="shared" si="39"/>
        <v>1</v>
      </c>
      <c r="H165" s="95"/>
      <c r="I165" s="95"/>
      <c r="J165" s="95"/>
      <c r="K165" s="95"/>
      <c r="L165" s="95">
        <f t="shared" si="40"/>
        <v>0</v>
      </c>
      <c r="M165" s="95">
        <f t="shared" si="38"/>
        <v>1</v>
      </c>
      <c r="N165" s="10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</row>
    <row r="166" spans="1:26" ht="14.25">
      <c r="A166" s="197" t="s">
        <v>175</v>
      </c>
      <c r="B166" s="89" t="s">
        <v>289</v>
      </c>
      <c r="C166" s="95">
        <f t="shared" si="34"/>
        <v>0</v>
      </c>
      <c r="D166" s="95">
        <v>1</v>
      </c>
      <c r="E166" s="95">
        <f t="shared" si="35"/>
        <v>1</v>
      </c>
      <c r="F166" s="89"/>
      <c r="G166" s="95">
        <f t="shared" si="39"/>
        <v>1</v>
      </c>
      <c r="H166" s="95"/>
      <c r="I166" s="95"/>
      <c r="J166" s="95"/>
      <c r="K166" s="95"/>
      <c r="L166" s="95">
        <f t="shared" si="40"/>
        <v>0</v>
      </c>
      <c r="M166" s="95">
        <f t="shared" si="38"/>
        <v>1</v>
      </c>
      <c r="N166" s="10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</row>
    <row r="167" spans="1:26" ht="14.25">
      <c r="A167" s="10"/>
      <c r="B167" s="156" t="s">
        <v>6</v>
      </c>
      <c r="C167" s="159">
        <f aca="true" t="shared" si="41" ref="C167:M167">SUM(C153:C166)</f>
        <v>0</v>
      </c>
      <c r="D167" s="159">
        <f t="shared" si="41"/>
        <v>35040.6204</v>
      </c>
      <c r="E167" s="159">
        <f t="shared" si="41"/>
        <v>35040.6204</v>
      </c>
      <c r="F167" s="159">
        <f t="shared" si="41"/>
        <v>3694</v>
      </c>
      <c r="G167" s="159">
        <f t="shared" si="41"/>
        <v>38734.6204</v>
      </c>
      <c r="H167" s="159">
        <f t="shared" si="41"/>
        <v>0</v>
      </c>
      <c r="I167" s="159">
        <f t="shared" si="41"/>
        <v>2459</v>
      </c>
      <c r="J167" s="159">
        <f t="shared" si="41"/>
        <v>15050</v>
      </c>
      <c r="K167" s="159">
        <f t="shared" si="41"/>
        <v>15062.27</v>
      </c>
      <c r="L167" s="159">
        <f t="shared" si="41"/>
        <v>32571.27</v>
      </c>
      <c r="M167" s="159">
        <f t="shared" si="41"/>
        <v>6163.350399999999</v>
      </c>
      <c r="N167" s="10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</row>
    <row r="168" spans="1:26" ht="14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</row>
    <row r="169" spans="1:26" ht="14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</row>
    <row r="170" spans="1:26" ht="14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</row>
    <row r="171" spans="1:26" ht="14.25">
      <c r="A171" s="228" t="s">
        <v>205</v>
      </c>
      <c r="B171" s="228"/>
      <c r="C171" s="228"/>
      <c r="D171" s="228"/>
      <c r="E171" s="228"/>
      <c r="F171" s="10"/>
      <c r="G171" s="10"/>
      <c r="H171" s="10"/>
      <c r="I171" s="10"/>
      <c r="J171" s="10"/>
      <c r="K171" s="10"/>
      <c r="L171" s="10"/>
      <c r="M171" s="10"/>
      <c r="N171" s="10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</row>
    <row r="172" spans="1:26" ht="14.25">
      <c r="A172" s="228" t="s">
        <v>206</v>
      </c>
      <c r="B172" s="228"/>
      <c r="C172" s="228"/>
      <c r="D172" s="228"/>
      <c r="E172" s="228"/>
      <c r="F172" s="10"/>
      <c r="G172" s="10"/>
      <c r="H172" s="10"/>
      <c r="I172" s="10"/>
      <c r="J172" s="10"/>
      <c r="K172" s="10"/>
      <c r="L172" s="10"/>
      <c r="M172" s="10"/>
      <c r="N172" s="10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</row>
    <row r="173" spans="1:26" ht="14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</row>
    <row r="174" spans="1:26" ht="14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</row>
    <row r="175" spans="1:26" ht="14.25">
      <c r="A175" s="181" t="s">
        <v>207</v>
      </c>
      <c r="B175" s="181" t="s">
        <v>238</v>
      </c>
      <c r="C175" s="182"/>
      <c r="D175" s="182"/>
      <c r="E175" s="182"/>
      <c r="F175" s="10"/>
      <c r="G175" s="10"/>
      <c r="H175" s="10"/>
      <c r="I175" s="10"/>
      <c r="J175" s="10"/>
      <c r="K175" s="10"/>
      <c r="L175" s="10"/>
      <c r="M175" s="10"/>
      <c r="N175" s="10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</row>
    <row r="176" spans="1:26" ht="14.25">
      <c r="A176" s="181" t="s">
        <v>290</v>
      </c>
      <c r="B176" s="181" t="s">
        <v>291</v>
      </c>
      <c r="C176" s="182"/>
      <c r="D176" s="182"/>
      <c r="E176" s="182"/>
      <c r="F176" s="10"/>
      <c r="G176" s="10"/>
      <c r="H176" s="10"/>
      <c r="I176" s="10"/>
      <c r="J176" s="10"/>
      <c r="K176" s="10"/>
      <c r="L176" s="10"/>
      <c r="M176" s="10"/>
      <c r="N176" s="10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</row>
    <row r="177" spans="1:26" ht="14.25">
      <c r="A177" s="182"/>
      <c r="B177" s="182"/>
      <c r="C177" s="182"/>
      <c r="D177" s="182"/>
      <c r="E177" s="182"/>
      <c r="F177" s="10"/>
      <c r="G177" s="10"/>
      <c r="H177" s="227"/>
      <c r="I177" s="227"/>
      <c r="J177" s="227"/>
      <c r="K177" s="227"/>
      <c r="L177" s="227"/>
      <c r="M177" s="10"/>
      <c r="N177" s="10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</row>
    <row r="178" spans="1:26" ht="14.25">
      <c r="A178" s="108" t="s">
        <v>2</v>
      </c>
      <c r="B178" s="108" t="s">
        <v>211</v>
      </c>
      <c r="C178" s="108" t="s">
        <v>34</v>
      </c>
      <c r="D178" s="108" t="s">
        <v>212</v>
      </c>
      <c r="E178" s="108" t="s">
        <v>213</v>
      </c>
      <c r="F178" s="156" t="s">
        <v>5</v>
      </c>
      <c r="G178" s="156" t="s">
        <v>6</v>
      </c>
      <c r="H178" s="156" t="s">
        <v>214</v>
      </c>
      <c r="I178" s="156" t="s">
        <v>215</v>
      </c>
      <c r="J178" s="156" t="s">
        <v>216</v>
      </c>
      <c r="K178" s="156" t="s">
        <v>217</v>
      </c>
      <c r="L178" s="156" t="s">
        <v>6</v>
      </c>
      <c r="M178" s="156" t="s">
        <v>6</v>
      </c>
      <c r="N178" s="10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</row>
    <row r="179" spans="1:26" ht="14.25">
      <c r="A179" s="197" t="s">
        <v>121</v>
      </c>
      <c r="B179" s="89" t="s">
        <v>122</v>
      </c>
      <c r="C179" s="95">
        <f>+D179*0</f>
        <v>0</v>
      </c>
      <c r="D179" s="95">
        <v>0.01</v>
      </c>
      <c r="E179" s="95">
        <f>+C179+D179</f>
        <v>0.01</v>
      </c>
      <c r="F179" s="95"/>
      <c r="G179" s="95">
        <f>+E179+F179</f>
        <v>0.01</v>
      </c>
      <c r="H179" s="95"/>
      <c r="I179" s="95"/>
      <c r="J179" s="95"/>
      <c r="K179" s="95"/>
      <c r="L179" s="95">
        <f>+H179+I179+J179+K179</f>
        <v>0</v>
      </c>
      <c r="M179" s="95">
        <f>+G179-L179</f>
        <v>0.01</v>
      </c>
      <c r="N179" s="171" t="s">
        <v>292</v>
      </c>
      <c r="O179" s="172"/>
      <c r="P179" s="172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</row>
    <row r="180" spans="1:26" ht="14.25">
      <c r="A180" s="89" t="s">
        <v>123</v>
      </c>
      <c r="B180" s="89" t="s">
        <v>223</v>
      </c>
      <c r="C180" s="95">
        <f>+D180*0</f>
        <v>0</v>
      </c>
      <c r="D180" s="95">
        <f>+'DISTRIBUTIVO SUELDOS Y SALARIOS'!G85+'DISTRIBUTIVO SUELDOS Y SALARIOS'!G89+'DISTRIBUTIVO SUELDOS Y SALARIOS'!G90</f>
        <v>19450.7264</v>
      </c>
      <c r="E180" s="95">
        <f>+C180+D180</f>
        <v>19450.7264</v>
      </c>
      <c r="F180" s="165">
        <f>-REFORMAS!D29-REFORMAS!D53</f>
        <v>-4250.65</v>
      </c>
      <c r="G180" s="95">
        <f>+E180+F180</f>
        <v>15200.0764</v>
      </c>
      <c r="H180" s="95">
        <v>1604.19</v>
      </c>
      <c r="I180" s="95">
        <v>2777.8</v>
      </c>
      <c r="J180" s="95">
        <v>3066.97</v>
      </c>
      <c r="K180" s="95">
        <v>2888.9</v>
      </c>
      <c r="L180" s="95">
        <f aca="true" t="shared" si="42" ref="L180:L181">+H180+I180+J180+K180</f>
        <v>10337.859999999999</v>
      </c>
      <c r="M180" s="95">
        <f>+G180-L180</f>
        <v>4862.216400000001</v>
      </c>
      <c r="N180" s="171" t="s">
        <v>293</v>
      </c>
      <c r="O180" s="172"/>
      <c r="P180" s="172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</row>
    <row r="181" spans="1:26" ht="14.25">
      <c r="A181" s="89" t="s">
        <v>160</v>
      </c>
      <c r="B181" s="89" t="s">
        <v>294</v>
      </c>
      <c r="C181" s="95">
        <f>+D181*0</f>
        <v>0</v>
      </c>
      <c r="D181" s="95">
        <v>500</v>
      </c>
      <c r="E181" s="95">
        <f>+C181+D181</f>
        <v>500</v>
      </c>
      <c r="F181" s="95">
        <f>+REFORMAS!C18</f>
        <v>0</v>
      </c>
      <c r="G181" s="95">
        <f>+E181+F181</f>
        <v>500</v>
      </c>
      <c r="H181" s="95"/>
      <c r="I181" s="95">
        <v>100</v>
      </c>
      <c r="J181" s="95">
        <v>160</v>
      </c>
      <c r="K181" s="95">
        <v>107.05</v>
      </c>
      <c r="L181" s="95">
        <f t="shared" si="42"/>
        <v>367.05</v>
      </c>
      <c r="M181" s="95">
        <f>+G181-L181</f>
        <v>132.95</v>
      </c>
      <c r="N181" s="171" t="s">
        <v>295</v>
      </c>
      <c r="O181" s="172"/>
      <c r="P181" s="172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</row>
    <row r="182" spans="1:26" ht="14.25">
      <c r="A182" s="10"/>
      <c r="B182" s="156" t="s">
        <v>6</v>
      </c>
      <c r="C182" s="159">
        <f aca="true" t="shared" si="43" ref="C182">SUM(C179:C181)</f>
        <v>0</v>
      </c>
      <c r="D182" s="159">
        <f aca="true" t="shared" si="44" ref="D182">SUM(D179:D181)</f>
        <v>19950.736399999998</v>
      </c>
      <c r="E182" s="159">
        <f aca="true" t="shared" si="45" ref="E182:M182">SUM(E179:E181)</f>
        <v>19950.736399999998</v>
      </c>
      <c r="F182" s="159">
        <f t="shared" si="45"/>
        <v>-4250.65</v>
      </c>
      <c r="G182" s="159">
        <f t="shared" si="45"/>
        <v>15700.0864</v>
      </c>
      <c r="H182" s="159">
        <f t="shared" si="45"/>
        <v>1604.19</v>
      </c>
      <c r="I182" s="159">
        <f t="shared" si="45"/>
        <v>2877.8</v>
      </c>
      <c r="J182" s="159">
        <f t="shared" si="45"/>
        <v>3226.97</v>
      </c>
      <c r="K182" s="159">
        <f t="shared" si="45"/>
        <v>2995.9500000000003</v>
      </c>
      <c r="L182" s="159">
        <f t="shared" si="45"/>
        <v>10704.909999999998</v>
      </c>
      <c r="M182" s="159">
        <f t="shared" si="45"/>
        <v>4995.176400000001</v>
      </c>
      <c r="N182" s="10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</row>
    <row r="183" spans="1:26" ht="14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</row>
    <row r="184" spans="1:26" ht="14.25">
      <c r="A184" s="10"/>
      <c r="B184" s="10"/>
      <c r="C184" s="10"/>
      <c r="D184" s="10"/>
      <c r="E184" s="53"/>
      <c r="F184" s="10"/>
      <c r="G184" s="10"/>
      <c r="H184" s="10"/>
      <c r="I184" s="10"/>
      <c r="J184" s="10"/>
      <c r="K184" s="10"/>
      <c r="L184" s="10"/>
      <c r="M184" s="10"/>
      <c r="N184" s="10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</row>
    <row r="185" spans="1:26" ht="14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</row>
    <row r="186" spans="1:26" ht="14.25">
      <c r="A186" s="228" t="s">
        <v>205</v>
      </c>
      <c r="B186" s="228"/>
      <c r="C186" s="228"/>
      <c r="D186" s="228"/>
      <c r="E186" s="228"/>
      <c r="F186" s="10"/>
      <c r="G186" s="10"/>
      <c r="H186" s="10"/>
      <c r="I186" s="10"/>
      <c r="J186" s="10"/>
      <c r="K186" s="10"/>
      <c r="L186" s="10"/>
      <c r="M186" s="10"/>
      <c r="N186" s="10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</row>
    <row r="187" spans="1:26" ht="14.25">
      <c r="A187" s="228" t="s">
        <v>206</v>
      </c>
      <c r="B187" s="228"/>
      <c r="C187" s="228"/>
      <c r="D187" s="228"/>
      <c r="E187" s="228"/>
      <c r="F187" s="10"/>
      <c r="G187" s="10"/>
      <c r="H187" s="10"/>
      <c r="I187" s="10"/>
      <c r="J187" s="10"/>
      <c r="K187" s="10"/>
      <c r="L187" s="10"/>
      <c r="M187" s="10"/>
      <c r="N187" s="10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</row>
    <row r="188" spans="1:26" ht="14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</row>
    <row r="189" spans="1:26" ht="14.25">
      <c r="A189" s="10"/>
      <c r="B189" s="10"/>
      <c r="C189" s="10"/>
      <c r="D189" s="10"/>
      <c r="E189" s="10"/>
      <c r="F189" s="53"/>
      <c r="G189" s="10"/>
      <c r="H189" s="10"/>
      <c r="I189" s="10"/>
      <c r="J189" s="10"/>
      <c r="K189" s="10"/>
      <c r="L189" s="10"/>
      <c r="M189" s="10"/>
      <c r="N189" s="10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</row>
    <row r="190" spans="1:26" ht="14.25">
      <c r="A190" s="10"/>
      <c r="B190" s="10"/>
      <c r="C190" s="10"/>
      <c r="D190" s="10"/>
      <c r="E190" s="10"/>
      <c r="F190" s="53"/>
      <c r="G190" s="10"/>
      <c r="H190" s="10"/>
      <c r="I190" s="10"/>
      <c r="J190" s="10"/>
      <c r="K190" s="10"/>
      <c r="L190" s="10"/>
      <c r="M190" s="10"/>
      <c r="N190" s="10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</row>
    <row r="191" spans="1:26" ht="14.25">
      <c r="A191" s="150" t="s">
        <v>207</v>
      </c>
      <c r="B191" s="150" t="s">
        <v>238</v>
      </c>
      <c r="C191" s="163"/>
      <c r="D191" s="163"/>
      <c r="E191" s="163"/>
      <c r="F191" s="53"/>
      <c r="G191" s="10"/>
      <c r="H191" s="10"/>
      <c r="I191" s="10"/>
      <c r="J191" s="10"/>
      <c r="K191" s="10"/>
      <c r="L191" s="10"/>
      <c r="M191" s="10"/>
      <c r="N191" s="10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</row>
    <row r="192" spans="1:26" ht="14.25">
      <c r="A192" s="150" t="s">
        <v>296</v>
      </c>
      <c r="B192" s="150" t="s">
        <v>297</v>
      </c>
      <c r="C192" s="163"/>
      <c r="D192" s="161"/>
      <c r="E192" s="163"/>
      <c r="F192" s="10"/>
      <c r="G192" s="10"/>
      <c r="H192" s="10"/>
      <c r="I192" s="10"/>
      <c r="J192" s="10"/>
      <c r="K192" s="10"/>
      <c r="L192" s="10"/>
      <c r="M192" s="10"/>
      <c r="N192" s="10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</row>
    <row r="193" spans="1:26" ht="14.25">
      <c r="A193" s="163"/>
      <c r="B193" s="163"/>
      <c r="C193" s="163"/>
      <c r="D193" s="163"/>
      <c r="E193" s="163"/>
      <c r="F193" s="10"/>
      <c r="G193" s="10"/>
      <c r="H193" s="227" t="s">
        <v>255</v>
      </c>
      <c r="I193" s="227"/>
      <c r="J193" s="227"/>
      <c r="K193" s="227"/>
      <c r="L193" s="227"/>
      <c r="M193" s="10"/>
      <c r="N193" s="10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</row>
    <row r="194" spans="1:26" ht="14.25">
      <c r="A194" s="108" t="s">
        <v>2</v>
      </c>
      <c r="B194" s="108" t="s">
        <v>211</v>
      </c>
      <c r="C194" s="108" t="s">
        <v>34</v>
      </c>
      <c r="D194" s="108" t="s">
        <v>212</v>
      </c>
      <c r="E194" s="108" t="s">
        <v>213</v>
      </c>
      <c r="F194" s="156" t="s">
        <v>5</v>
      </c>
      <c r="G194" s="156" t="s">
        <v>6</v>
      </c>
      <c r="H194" s="156" t="s">
        <v>214</v>
      </c>
      <c r="I194" s="156" t="s">
        <v>215</v>
      </c>
      <c r="J194" s="156" t="s">
        <v>216</v>
      </c>
      <c r="K194" s="156" t="s">
        <v>217</v>
      </c>
      <c r="L194" s="156" t="s">
        <v>6</v>
      </c>
      <c r="M194" s="156" t="s">
        <v>6</v>
      </c>
      <c r="N194" s="10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</row>
    <row r="195" spans="1:26" ht="14.25">
      <c r="A195" s="183">
        <v>970101</v>
      </c>
      <c r="B195" s="89" t="s">
        <v>182</v>
      </c>
      <c r="C195" s="95"/>
      <c r="D195" s="95">
        <v>16014.78</v>
      </c>
      <c r="E195" s="95">
        <f aca="true" t="shared" si="46" ref="E195:E214">+C195+D195</f>
        <v>16014.78</v>
      </c>
      <c r="F195" s="95"/>
      <c r="G195" s="95">
        <f aca="true" t="shared" si="47" ref="G195:G214">+E195+F195</f>
        <v>16014.78</v>
      </c>
      <c r="H195" s="95"/>
      <c r="I195" s="95"/>
      <c r="J195" s="95"/>
      <c r="K195" s="95">
        <v>11405.08</v>
      </c>
      <c r="L195" s="95">
        <f>+H195+I195+J195+K195</f>
        <v>11405.08</v>
      </c>
      <c r="M195" s="95">
        <f aca="true" t="shared" si="48" ref="M195:M198">+G195-L195</f>
        <v>4609.700000000001</v>
      </c>
      <c r="N195" s="10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</row>
    <row r="196" spans="1:26" ht="14.25">
      <c r="A196" s="89" t="s">
        <v>85</v>
      </c>
      <c r="B196" s="89" t="s">
        <v>86</v>
      </c>
      <c r="C196" s="95"/>
      <c r="D196" s="95">
        <f>+'DISTRIBUTIVO SUELDOS Y SALARIOS'!E42</f>
        <v>12356</v>
      </c>
      <c r="E196" s="95">
        <f t="shared" si="46"/>
        <v>12356</v>
      </c>
      <c r="F196" s="175">
        <f>-REFORMAS!D49</f>
        <v>-1540.19</v>
      </c>
      <c r="G196" s="95">
        <f t="shared" si="47"/>
        <v>10815.81</v>
      </c>
      <c r="H196" s="95">
        <v>2214</v>
      </c>
      <c r="I196" s="95">
        <v>2214</v>
      </c>
      <c r="J196" s="95">
        <v>2214</v>
      </c>
      <c r="K196" s="95">
        <v>3172.13</v>
      </c>
      <c r="L196" s="95">
        <v>9814.13</v>
      </c>
      <c r="M196" s="95">
        <f t="shared" si="48"/>
        <v>1001.6800000000003</v>
      </c>
      <c r="N196" s="10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</row>
    <row r="197" spans="1:26" ht="14.25">
      <c r="A197" s="89" t="s">
        <v>87</v>
      </c>
      <c r="B197" s="89" t="s">
        <v>88</v>
      </c>
      <c r="C197" s="95"/>
      <c r="D197" s="95">
        <f>+'DISTRIBUTIVO SUELDOS Y SALARIOS'!F42</f>
        <v>1476</v>
      </c>
      <c r="E197" s="95">
        <f t="shared" si="46"/>
        <v>1476</v>
      </c>
      <c r="F197" s="175">
        <f>-REFORMAS!D50</f>
        <v>-248.05</v>
      </c>
      <c r="G197" s="95">
        <f t="shared" si="47"/>
        <v>1227.95</v>
      </c>
      <c r="H197" s="95"/>
      <c r="I197" s="95"/>
      <c r="J197" s="95"/>
      <c r="K197" s="95">
        <v>763.41</v>
      </c>
      <c r="L197" s="95">
        <f aca="true" t="shared" si="49" ref="L197:L214">+H197+I197+J197+K197</f>
        <v>763.41</v>
      </c>
      <c r="M197" s="95">
        <f t="shared" si="48"/>
        <v>464.5400000000001</v>
      </c>
      <c r="N197" s="10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</row>
    <row r="198" spans="1:26" ht="14.25">
      <c r="A198" s="89" t="s">
        <v>89</v>
      </c>
      <c r="B198" s="89" t="s">
        <v>90</v>
      </c>
      <c r="C198" s="95"/>
      <c r="D198" s="95">
        <f>+'DISTRIBUTIVO SUELDOS Y SALARIOS'!G42</f>
        <v>850</v>
      </c>
      <c r="E198" s="95">
        <f t="shared" si="46"/>
        <v>850</v>
      </c>
      <c r="F198" s="175">
        <f>-REFORMAS!D51</f>
        <v>-318.75</v>
      </c>
      <c r="G198" s="95">
        <f t="shared" si="47"/>
        <v>531.25</v>
      </c>
      <c r="H198" s="95"/>
      <c r="I198" s="95"/>
      <c r="J198" s="95">
        <v>414.58</v>
      </c>
      <c r="K198" s="95">
        <v>0</v>
      </c>
      <c r="L198" s="95">
        <f t="shared" si="49"/>
        <v>414.58</v>
      </c>
      <c r="M198" s="95">
        <f t="shared" si="48"/>
        <v>116.67000000000002</v>
      </c>
      <c r="N198" s="10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</row>
    <row r="199" spans="1:26" ht="14.25">
      <c r="A199" s="89" t="s">
        <v>91</v>
      </c>
      <c r="B199" s="89" t="s">
        <v>44</v>
      </c>
      <c r="C199" s="95"/>
      <c r="D199" s="95">
        <f>+'DISTRIBUTIVO SUELDOS Y SALARIOS'!I42</f>
        <v>1377.694</v>
      </c>
      <c r="E199" s="95">
        <f t="shared" si="46"/>
        <v>1377.694</v>
      </c>
      <c r="F199" s="175">
        <f>-REFORMAS!D52</f>
        <v>-165.85</v>
      </c>
      <c r="G199" s="95">
        <f t="shared" si="47"/>
        <v>1211.844</v>
      </c>
      <c r="H199" s="95">
        <v>246.87</v>
      </c>
      <c r="I199" s="95">
        <v>246.87</v>
      </c>
      <c r="J199" s="95">
        <v>246.87</v>
      </c>
      <c r="K199" s="95">
        <v>353.69</v>
      </c>
      <c r="L199" s="95">
        <v>1094.3</v>
      </c>
      <c r="M199" s="95">
        <f>+G199-L199</f>
        <v>117.5440000000001</v>
      </c>
      <c r="N199" s="10"/>
      <c r="O199" s="166"/>
      <c r="P199" s="166"/>
      <c r="Q199" s="166">
        <f>406*12</f>
        <v>4872</v>
      </c>
      <c r="R199" s="166"/>
      <c r="S199" s="166"/>
      <c r="T199" s="166"/>
      <c r="U199" s="166"/>
      <c r="V199" s="166"/>
      <c r="W199" s="166"/>
      <c r="X199" s="166"/>
      <c r="Y199" s="166"/>
      <c r="Z199" s="166"/>
    </row>
    <row r="200" spans="1:26" ht="14.25">
      <c r="A200" s="89" t="s">
        <v>92</v>
      </c>
      <c r="B200" s="89" t="s">
        <v>93</v>
      </c>
      <c r="C200" s="95"/>
      <c r="D200" s="95">
        <f>+'DISTRIBUTIVO SUELDOS Y SALARIOS'!H42</f>
        <v>738</v>
      </c>
      <c r="E200" s="95">
        <f t="shared" si="46"/>
        <v>738</v>
      </c>
      <c r="F200" s="95"/>
      <c r="G200" s="95">
        <f t="shared" si="47"/>
        <v>738</v>
      </c>
      <c r="H200" s="95"/>
      <c r="I200" s="95">
        <v>184.5</v>
      </c>
      <c r="J200" s="95">
        <v>184.5</v>
      </c>
      <c r="K200" s="95">
        <v>184.5</v>
      </c>
      <c r="L200" s="95">
        <v>553.5</v>
      </c>
      <c r="M200" s="95">
        <f aca="true" t="shared" si="50" ref="M200:M214">+G200-L200</f>
        <v>184.5</v>
      </c>
      <c r="N200" s="10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</row>
    <row r="201" spans="1:26" ht="14.25">
      <c r="A201" s="89" t="s">
        <v>107</v>
      </c>
      <c r="B201" s="89" t="s">
        <v>108</v>
      </c>
      <c r="C201" s="95">
        <f>+D201*0</f>
        <v>0</v>
      </c>
      <c r="D201" s="95">
        <v>3500</v>
      </c>
      <c r="E201" s="95">
        <f t="shared" si="46"/>
        <v>3500</v>
      </c>
      <c r="F201" s="200">
        <v>2699.99</v>
      </c>
      <c r="G201" s="95">
        <f t="shared" si="47"/>
        <v>6199.99</v>
      </c>
      <c r="H201" s="95">
        <v>1692.39</v>
      </c>
      <c r="I201" s="95"/>
      <c r="J201" s="95"/>
      <c r="K201" s="95">
        <v>2689.74</v>
      </c>
      <c r="L201" s="95">
        <f t="shared" si="49"/>
        <v>4382.13</v>
      </c>
      <c r="M201" s="95">
        <f t="shared" si="50"/>
        <v>1817.8599999999997</v>
      </c>
      <c r="N201" s="171" t="s">
        <v>298</v>
      </c>
      <c r="O201" s="172"/>
      <c r="P201" s="172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</row>
    <row r="202" spans="1:26" ht="14.25">
      <c r="A202" s="197" t="s">
        <v>109</v>
      </c>
      <c r="B202" s="89" t="s">
        <v>299</v>
      </c>
      <c r="C202" s="95"/>
      <c r="D202" s="95">
        <v>0.01</v>
      </c>
      <c r="E202" s="95">
        <f t="shared" si="46"/>
        <v>0.01</v>
      </c>
      <c r="F202" s="95"/>
      <c r="G202" s="95">
        <f t="shared" si="47"/>
        <v>0.01</v>
      </c>
      <c r="H202" s="95"/>
      <c r="I202" s="95"/>
      <c r="J202" s="95"/>
      <c r="K202" s="95"/>
      <c r="L202" s="95">
        <f t="shared" si="49"/>
        <v>0</v>
      </c>
      <c r="M202" s="95">
        <f t="shared" si="50"/>
        <v>0.01</v>
      </c>
      <c r="N202" s="171"/>
      <c r="O202" s="172"/>
      <c r="P202" s="172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</row>
    <row r="203" spans="1:26" ht="14.25">
      <c r="A203" s="89" t="s">
        <v>115</v>
      </c>
      <c r="B203" s="89" t="s">
        <v>116</v>
      </c>
      <c r="C203" s="95">
        <f>+D203*0</f>
        <v>0</v>
      </c>
      <c r="D203" s="95">
        <v>500</v>
      </c>
      <c r="E203" s="95">
        <f t="shared" si="46"/>
        <v>500</v>
      </c>
      <c r="F203" s="95"/>
      <c r="G203" s="95">
        <f t="shared" si="47"/>
        <v>500</v>
      </c>
      <c r="H203" s="95"/>
      <c r="I203" s="95"/>
      <c r="J203" s="95"/>
      <c r="K203" s="95"/>
      <c r="L203" s="95">
        <f t="shared" si="49"/>
        <v>0</v>
      </c>
      <c r="M203" s="95">
        <f t="shared" si="50"/>
        <v>500</v>
      </c>
      <c r="N203" s="171" t="s">
        <v>300</v>
      </c>
      <c r="O203" s="172"/>
      <c r="P203" s="172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</row>
    <row r="204" spans="1:26" ht="14.25">
      <c r="A204" s="197" t="s">
        <v>117</v>
      </c>
      <c r="B204" s="89" t="s">
        <v>301</v>
      </c>
      <c r="C204" s="95"/>
      <c r="D204" s="95">
        <v>500</v>
      </c>
      <c r="E204" s="95">
        <f t="shared" si="46"/>
        <v>500</v>
      </c>
      <c r="F204" s="95">
        <v>500</v>
      </c>
      <c r="G204" s="95">
        <f t="shared" si="47"/>
        <v>1000</v>
      </c>
      <c r="H204" s="95">
        <v>727.56</v>
      </c>
      <c r="I204" s="95">
        <v>127</v>
      </c>
      <c r="J204" s="95">
        <v>122</v>
      </c>
      <c r="K204" s="95"/>
      <c r="L204" s="95">
        <f t="shared" si="49"/>
        <v>976.56</v>
      </c>
      <c r="M204" s="95">
        <f t="shared" si="50"/>
        <v>23.440000000000055</v>
      </c>
      <c r="N204" s="171" t="s">
        <v>302</v>
      </c>
      <c r="O204" s="172"/>
      <c r="P204" s="172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</row>
    <row r="205" spans="1:26" ht="14.25">
      <c r="A205" s="197" t="s">
        <v>121</v>
      </c>
      <c r="B205" s="89" t="s">
        <v>122</v>
      </c>
      <c r="C205" s="95"/>
      <c r="D205" s="95">
        <f>51045.23+8960</f>
        <v>60005.23</v>
      </c>
      <c r="E205" s="95">
        <f t="shared" si="46"/>
        <v>60005.23</v>
      </c>
      <c r="F205" s="175">
        <f>+REFORMAS!C36-REFORMAS!D11-REFORMAS!D48</f>
        <v>-2805.94</v>
      </c>
      <c r="G205" s="95">
        <f t="shared" si="47"/>
        <v>57199.29</v>
      </c>
      <c r="H205" s="95"/>
      <c r="I205" s="95"/>
      <c r="J205" s="95">
        <v>57199.18</v>
      </c>
      <c r="K205" s="95"/>
      <c r="L205" s="95">
        <f>+H205+I205+J205+K205</f>
        <v>57199.18</v>
      </c>
      <c r="M205" s="95">
        <f t="shared" si="50"/>
        <v>0.11000000000058208</v>
      </c>
      <c r="N205" s="171" t="s">
        <v>303</v>
      </c>
      <c r="O205" s="172"/>
      <c r="P205" s="172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</row>
    <row r="206" spans="1:26" ht="14.25">
      <c r="A206" s="89" t="s">
        <v>123</v>
      </c>
      <c r="B206" s="89" t="s">
        <v>223</v>
      </c>
      <c r="C206" s="95">
        <f aca="true" t="shared" si="51" ref="C206:C212">+D206*0</f>
        <v>0</v>
      </c>
      <c r="D206" s="95">
        <v>0.01</v>
      </c>
      <c r="E206" s="95">
        <f t="shared" si="46"/>
        <v>0.01</v>
      </c>
      <c r="F206" s="95"/>
      <c r="G206" s="95">
        <f t="shared" si="47"/>
        <v>0.01</v>
      </c>
      <c r="H206" s="95"/>
      <c r="I206" s="95"/>
      <c r="J206" s="95"/>
      <c r="K206" s="95"/>
      <c r="L206" s="95">
        <f t="shared" si="49"/>
        <v>0</v>
      </c>
      <c r="M206" s="95">
        <f t="shared" si="50"/>
        <v>0.01</v>
      </c>
      <c r="N206" s="171"/>
      <c r="O206" s="172"/>
      <c r="P206" s="172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</row>
    <row r="207" spans="1:26" ht="14.25">
      <c r="A207" s="89" t="s">
        <v>127</v>
      </c>
      <c r="B207" s="89" t="s">
        <v>128</v>
      </c>
      <c r="C207" s="95">
        <f t="shared" si="51"/>
        <v>0</v>
      </c>
      <c r="D207" s="95">
        <v>500</v>
      </c>
      <c r="E207" s="95">
        <f t="shared" si="46"/>
        <v>500</v>
      </c>
      <c r="F207" s="95"/>
      <c r="G207" s="95">
        <f t="shared" si="47"/>
        <v>500</v>
      </c>
      <c r="H207" s="95">
        <v>345</v>
      </c>
      <c r="I207" s="95"/>
      <c r="J207" s="95"/>
      <c r="K207" s="95"/>
      <c r="L207" s="95">
        <f t="shared" si="49"/>
        <v>345</v>
      </c>
      <c r="M207" s="95">
        <f t="shared" si="50"/>
        <v>155</v>
      </c>
      <c r="N207" s="10"/>
      <c r="O207" s="172"/>
      <c r="P207" s="172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</row>
    <row r="208" spans="1:26" ht="14.25">
      <c r="A208" s="89" t="s">
        <v>129</v>
      </c>
      <c r="B208" s="89" t="s">
        <v>130</v>
      </c>
      <c r="C208" s="95">
        <f t="shared" si="51"/>
        <v>0</v>
      </c>
      <c r="D208" s="95">
        <v>4000</v>
      </c>
      <c r="E208" s="95">
        <f t="shared" si="46"/>
        <v>4000</v>
      </c>
      <c r="F208" s="95">
        <v>-500</v>
      </c>
      <c r="G208" s="95">
        <f t="shared" si="47"/>
        <v>3500</v>
      </c>
      <c r="H208" s="95">
        <v>1108.19</v>
      </c>
      <c r="I208" s="95">
        <v>721.79</v>
      </c>
      <c r="J208" s="95">
        <v>549.74</v>
      </c>
      <c r="K208" s="95">
        <v>842.64</v>
      </c>
      <c r="L208" s="95">
        <f t="shared" si="49"/>
        <v>3222.36</v>
      </c>
      <c r="M208" s="95">
        <f t="shared" si="50"/>
        <v>277.6399999999999</v>
      </c>
      <c r="N208" s="171" t="s">
        <v>304</v>
      </c>
      <c r="O208" s="172"/>
      <c r="P208" s="172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</row>
    <row r="209" spans="1:26" ht="14.25">
      <c r="A209" s="89" t="s">
        <v>140</v>
      </c>
      <c r="B209" s="89" t="s">
        <v>250</v>
      </c>
      <c r="C209" s="95">
        <f t="shared" si="51"/>
        <v>0</v>
      </c>
      <c r="D209" s="95">
        <v>4000</v>
      </c>
      <c r="E209" s="95">
        <f t="shared" si="46"/>
        <v>4000</v>
      </c>
      <c r="F209" s="95">
        <f>-REFORMAS!D27+530</f>
        <v>-1470</v>
      </c>
      <c r="G209" s="95">
        <f t="shared" si="47"/>
        <v>2530</v>
      </c>
      <c r="H209" s="95"/>
      <c r="I209" s="95"/>
      <c r="J209" s="95"/>
      <c r="K209" s="95">
        <v>2529.71</v>
      </c>
      <c r="L209" s="95">
        <f t="shared" si="49"/>
        <v>2529.71</v>
      </c>
      <c r="M209" s="95">
        <f t="shared" si="50"/>
        <v>0.2899999999999636</v>
      </c>
      <c r="N209" s="171" t="s">
        <v>305</v>
      </c>
      <c r="O209" s="172"/>
      <c r="P209" s="172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</row>
    <row r="210" spans="1:26" ht="14.25">
      <c r="A210" s="89" t="s">
        <v>159</v>
      </c>
      <c r="B210" s="89" t="s">
        <v>78</v>
      </c>
      <c r="C210" s="95">
        <f t="shared" si="51"/>
        <v>0</v>
      </c>
      <c r="D210" s="95">
        <v>1600</v>
      </c>
      <c r="E210" s="95">
        <f t="shared" si="46"/>
        <v>1600</v>
      </c>
      <c r="F210" s="201">
        <f>+REFORMAS!C44+2000</f>
        <v>3500</v>
      </c>
      <c r="G210" s="95">
        <f t="shared" si="47"/>
        <v>5100</v>
      </c>
      <c r="H210" s="95">
        <v>1424.95</v>
      </c>
      <c r="I210" s="95"/>
      <c r="J210" s="95"/>
      <c r="K210" s="95">
        <v>2538.26</v>
      </c>
      <c r="L210" s="95">
        <f t="shared" si="49"/>
        <v>3963.21</v>
      </c>
      <c r="M210" s="95">
        <f t="shared" si="50"/>
        <v>1136.79</v>
      </c>
      <c r="N210" s="171" t="s">
        <v>306</v>
      </c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</row>
    <row r="211" spans="1:26" ht="14.25">
      <c r="A211" s="89" t="s">
        <v>164</v>
      </c>
      <c r="B211" s="89" t="s">
        <v>307</v>
      </c>
      <c r="C211" s="95">
        <f t="shared" si="51"/>
        <v>0</v>
      </c>
      <c r="D211" s="95">
        <v>0.01</v>
      </c>
      <c r="E211" s="95">
        <f t="shared" si="46"/>
        <v>0.01</v>
      </c>
      <c r="F211" s="95"/>
      <c r="G211" s="95">
        <f t="shared" si="47"/>
        <v>0.01</v>
      </c>
      <c r="H211" s="95"/>
      <c r="I211" s="95"/>
      <c r="J211" s="95"/>
      <c r="K211" s="95"/>
      <c r="L211" s="95">
        <f t="shared" si="49"/>
        <v>0</v>
      </c>
      <c r="M211" s="95">
        <f t="shared" si="50"/>
        <v>0.01</v>
      </c>
      <c r="N211" s="10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</row>
    <row r="212" spans="1:26" ht="14.25">
      <c r="A212" s="197" t="s">
        <v>167</v>
      </c>
      <c r="B212" s="89" t="s">
        <v>270</v>
      </c>
      <c r="C212" s="95">
        <f t="shared" si="51"/>
        <v>0</v>
      </c>
      <c r="D212" s="95">
        <v>9586.8</v>
      </c>
      <c r="E212" s="95">
        <f t="shared" si="46"/>
        <v>9586.8</v>
      </c>
      <c r="F212" s="95">
        <f>+REFORMAS!D4-REFORMAS!D62</f>
        <v>70991.95</v>
      </c>
      <c r="G212" s="95">
        <f t="shared" si="47"/>
        <v>80578.75</v>
      </c>
      <c r="H212" s="95"/>
      <c r="I212" s="95"/>
      <c r="J212" s="95"/>
      <c r="K212" s="95">
        <v>79800</v>
      </c>
      <c r="L212" s="95">
        <f t="shared" si="49"/>
        <v>79800</v>
      </c>
      <c r="M212" s="95">
        <f t="shared" si="50"/>
        <v>778.75</v>
      </c>
      <c r="N212" s="10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</row>
    <row r="213" spans="1:26" ht="14.25">
      <c r="A213" s="89" t="s">
        <v>177</v>
      </c>
      <c r="B213" s="89" t="s">
        <v>178</v>
      </c>
      <c r="C213" s="95"/>
      <c r="D213" s="95">
        <v>0.02</v>
      </c>
      <c r="E213" s="95">
        <f t="shared" si="46"/>
        <v>0.02</v>
      </c>
      <c r="F213" s="95">
        <f>+REFORMAS!C9</f>
        <v>5300</v>
      </c>
      <c r="G213" s="95">
        <f t="shared" si="47"/>
        <v>5300.02</v>
      </c>
      <c r="H213" s="95"/>
      <c r="I213" s="95"/>
      <c r="J213" s="95"/>
      <c r="K213" s="95">
        <v>2291.04</v>
      </c>
      <c r="L213" s="95">
        <f t="shared" si="49"/>
        <v>2291.04</v>
      </c>
      <c r="M213" s="95">
        <f t="shared" si="50"/>
        <v>3008.9800000000005</v>
      </c>
      <c r="N213" s="10"/>
      <c r="O213" s="166">
        <f>499+150</f>
        <v>649</v>
      </c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</row>
    <row r="214" spans="1:26" ht="14.25">
      <c r="A214" s="197" t="s">
        <v>179</v>
      </c>
      <c r="B214" s="89" t="s">
        <v>180</v>
      </c>
      <c r="C214" s="95"/>
      <c r="D214" s="95">
        <v>0.01</v>
      </c>
      <c r="E214" s="95">
        <f t="shared" si="46"/>
        <v>0.01</v>
      </c>
      <c r="F214" s="95"/>
      <c r="G214" s="95">
        <f t="shared" si="47"/>
        <v>0.01</v>
      </c>
      <c r="H214" s="95"/>
      <c r="I214" s="95"/>
      <c r="J214" s="95"/>
      <c r="K214" s="95"/>
      <c r="L214" s="95">
        <f t="shared" si="49"/>
        <v>0</v>
      </c>
      <c r="M214" s="95">
        <f t="shared" si="50"/>
        <v>0.01</v>
      </c>
      <c r="N214" s="10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</row>
    <row r="215" spans="1:26" ht="14.25">
      <c r="A215" s="10"/>
      <c r="B215" s="156" t="s">
        <v>6</v>
      </c>
      <c r="C215" s="159">
        <f aca="true" t="shared" si="52" ref="C215:M215">SUM(C195:C214)</f>
        <v>0</v>
      </c>
      <c r="D215" s="159">
        <f t="shared" si="52"/>
        <v>117004.564</v>
      </c>
      <c r="E215" s="159">
        <f t="shared" si="52"/>
        <v>117004.564</v>
      </c>
      <c r="F215" s="159">
        <f t="shared" si="52"/>
        <v>75943.16</v>
      </c>
      <c r="G215" s="159">
        <f t="shared" si="52"/>
        <v>192947.724</v>
      </c>
      <c r="H215" s="159">
        <f t="shared" si="52"/>
        <v>7758.96</v>
      </c>
      <c r="I215" s="159">
        <f t="shared" si="52"/>
        <v>3494.16</v>
      </c>
      <c r="J215" s="159">
        <f t="shared" si="52"/>
        <v>60930.869999999995</v>
      </c>
      <c r="K215" s="159">
        <f t="shared" si="52"/>
        <v>106570.2</v>
      </c>
      <c r="L215" s="159">
        <f t="shared" si="52"/>
        <v>178754.19000000003</v>
      </c>
      <c r="M215" s="159">
        <f t="shared" si="52"/>
        <v>14193.534000000005</v>
      </c>
      <c r="N215" s="10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</row>
    <row r="216" spans="1:26" ht="14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</row>
    <row r="217" spans="1:26" ht="14.25">
      <c r="A217" s="10"/>
      <c r="B217" s="10"/>
      <c r="C217" s="10"/>
      <c r="D217" s="10"/>
      <c r="E217" s="10"/>
      <c r="F217" s="53"/>
      <c r="G217" s="10"/>
      <c r="H217" s="10"/>
      <c r="I217" s="10"/>
      <c r="J217" s="10"/>
      <c r="K217" s="10"/>
      <c r="L217" s="10"/>
      <c r="M217" s="10"/>
      <c r="N217" s="10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</row>
    <row r="218" spans="1:26" ht="14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</row>
    <row r="219" spans="1:26" ht="14.25">
      <c r="A219" s="228" t="s">
        <v>205</v>
      </c>
      <c r="B219" s="228"/>
      <c r="C219" s="228"/>
      <c r="D219" s="228"/>
      <c r="E219" s="228"/>
      <c r="F219" s="10"/>
      <c r="G219" s="10"/>
      <c r="H219" s="10"/>
      <c r="I219" s="10"/>
      <c r="J219" s="10"/>
      <c r="K219" s="10"/>
      <c r="L219" s="10"/>
      <c r="M219" s="10"/>
      <c r="N219" s="10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</row>
    <row r="220" spans="1:26" ht="14.25">
      <c r="A220" s="228" t="s">
        <v>206</v>
      </c>
      <c r="B220" s="228"/>
      <c r="C220" s="228"/>
      <c r="D220" s="228"/>
      <c r="E220" s="228"/>
      <c r="F220" s="10"/>
      <c r="G220" s="10"/>
      <c r="H220" s="10"/>
      <c r="I220" s="10"/>
      <c r="J220" s="10"/>
      <c r="K220" s="10"/>
      <c r="L220" s="10"/>
      <c r="M220" s="10"/>
      <c r="N220" s="10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</row>
    <row r="221" spans="1:26" ht="14.25">
      <c r="A221" s="10"/>
      <c r="B221" s="10"/>
      <c r="C221" s="10"/>
      <c r="D221" s="10"/>
      <c r="E221" s="10"/>
      <c r="F221" s="10"/>
      <c r="G221" s="10">
        <f>79800-1396.5</f>
        <v>78403.5</v>
      </c>
      <c r="H221" s="10"/>
      <c r="I221" s="10"/>
      <c r="J221" s="10"/>
      <c r="K221" s="10"/>
      <c r="L221" s="10"/>
      <c r="M221" s="10"/>
      <c r="N221" s="10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</row>
    <row r="222" spans="1:26" ht="14.25">
      <c r="A222" s="150" t="s">
        <v>207</v>
      </c>
      <c r="B222" s="150" t="s">
        <v>238</v>
      </c>
      <c r="C222" s="163"/>
      <c r="D222" s="163"/>
      <c r="E222" s="163"/>
      <c r="F222" s="10"/>
      <c r="G222" s="10"/>
      <c r="H222" s="10"/>
      <c r="I222" s="10"/>
      <c r="J222" s="10"/>
      <c r="K222" s="10"/>
      <c r="L222" s="10"/>
      <c r="M222" s="10"/>
      <c r="N222" s="10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</row>
    <row r="223" spans="1:26" ht="15">
      <c r="A223" s="150" t="s">
        <v>308</v>
      </c>
      <c r="B223" s="203" t="s">
        <v>309</v>
      </c>
      <c r="C223" s="163"/>
      <c r="D223" s="163"/>
      <c r="E223" s="163"/>
      <c r="F223" s="10"/>
      <c r="G223" s="10"/>
      <c r="H223" s="10"/>
      <c r="I223" s="10"/>
      <c r="J223" s="10"/>
      <c r="K223" s="10"/>
      <c r="L223" s="10"/>
      <c r="M223" s="10"/>
      <c r="N223" s="10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</row>
    <row r="224" spans="1:26" ht="14.25">
      <c r="A224" s="163"/>
      <c r="B224" s="163"/>
      <c r="C224" s="163"/>
      <c r="D224" s="163"/>
      <c r="E224" s="163"/>
      <c r="F224" s="10"/>
      <c r="G224" s="10"/>
      <c r="H224" s="227" t="s">
        <v>255</v>
      </c>
      <c r="I224" s="227"/>
      <c r="J224" s="227"/>
      <c r="K224" s="227"/>
      <c r="L224" s="227"/>
      <c r="M224" s="10"/>
      <c r="N224" s="10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</row>
    <row r="225" spans="1:26" ht="14.25">
      <c r="A225" s="108" t="s">
        <v>2</v>
      </c>
      <c r="B225" s="108" t="s">
        <v>211</v>
      </c>
      <c r="C225" s="108" t="s">
        <v>34</v>
      </c>
      <c r="D225" s="108" t="s">
        <v>212</v>
      </c>
      <c r="E225" s="108" t="s">
        <v>213</v>
      </c>
      <c r="F225" s="156" t="s">
        <v>5</v>
      </c>
      <c r="G225" s="156" t="s">
        <v>6</v>
      </c>
      <c r="H225" s="156" t="s">
        <v>214</v>
      </c>
      <c r="I225" s="156" t="s">
        <v>215</v>
      </c>
      <c r="J225" s="156" t="s">
        <v>216</v>
      </c>
      <c r="K225" s="156" t="s">
        <v>217</v>
      </c>
      <c r="L225" s="156" t="s">
        <v>6</v>
      </c>
      <c r="M225" s="156" t="s">
        <v>6</v>
      </c>
      <c r="N225" s="10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</row>
    <row r="226" spans="1:26" ht="14.25">
      <c r="A226" s="197" t="s">
        <v>98</v>
      </c>
      <c r="B226" s="89" t="s">
        <v>310</v>
      </c>
      <c r="C226" s="89">
        <f>+D226*0</f>
        <v>0</v>
      </c>
      <c r="D226" s="95">
        <v>0.01</v>
      </c>
      <c r="E226" s="95">
        <f aca="true" t="shared" si="53" ref="E226:E235">+C226+D226</f>
        <v>0.01</v>
      </c>
      <c r="F226" s="95">
        <f>+REFORMAS!C17</f>
        <v>0</v>
      </c>
      <c r="G226" s="95">
        <f aca="true" t="shared" si="54" ref="G226:G235">+E226+F226</f>
        <v>0.01</v>
      </c>
      <c r="H226" s="95"/>
      <c r="I226" s="95"/>
      <c r="J226" s="95"/>
      <c r="K226" s="95"/>
      <c r="L226" s="95">
        <f aca="true" t="shared" si="55" ref="L226:L235">+H226+I226+J226+K226</f>
        <v>0</v>
      </c>
      <c r="M226" s="95">
        <f aca="true" t="shared" si="56" ref="M226:M234">+G226-L226</f>
        <v>0.01</v>
      </c>
      <c r="N226" s="10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</row>
    <row r="227" spans="1:26" ht="14.25">
      <c r="A227" s="197" t="s">
        <v>102</v>
      </c>
      <c r="B227" s="89" t="s">
        <v>311</v>
      </c>
      <c r="C227" s="89">
        <f>+D227*0</f>
        <v>0</v>
      </c>
      <c r="D227" s="95">
        <v>0.01</v>
      </c>
      <c r="E227" s="95">
        <f t="shared" si="53"/>
        <v>0.01</v>
      </c>
      <c r="F227" s="95"/>
      <c r="G227" s="95">
        <f t="shared" si="54"/>
        <v>0.01</v>
      </c>
      <c r="H227" s="95"/>
      <c r="I227" s="95"/>
      <c r="J227" s="95"/>
      <c r="K227" s="95"/>
      <c r="L227" s="95">
        <f t="shared" si="55"/>
        <v>0</v>
      </c>
      <c r="M227" s="95">
        <f t="shared" si="56"/>
        <v>0.01</v>
      </c>
      <c r="N227" s="10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</row>
    <row r="228" spans="1:26" ht="14.25">
      <c r="A228" s="89" t="s">
        <v>117</v>
      </c>
      <c r="B228" s="89" t="s">
        <v>168</v>
      </c>
      <c r="C228" s="89"/>
      <c r="D228" s="95">
        <v>0.01</v>
      </c>
      <c r="E228" s="95">
        <f t="shared" si="53"/>
        <v>0.01</v>
      </c>
      <c r="F228" s="95"/>
      <c r="G228" s="95">
        <f t="shared" si="54"/>
        <v>0.01</v>
      </c>
      <c r="H228" s="95"/>
      <c r="I228" s="95"/>
      <c r="J228" s="95"/>
      <c r="K228" s="95"/>
      <c r="L228" s="95">
        <f t="shared" si="55"/>
        <v>0</v>
      </c>
      <c r="M228" s="95">
        <f t="shared" si="56"/>
        <v>0.01</v>
      </c>
      <c r="N228" s="10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</row>
    <row r="229" spans="1:26" ht="14.25">
      <c r="A229" s="89" t="s">
        <v>123</v>
      </c>
      <c r="B229" s="89" t="s">
        <v>223</v>
      </c>
      <c r="C229" s="89">
        <f aca="true" t="shared" si="57" ref="C229:C235">+D229*0</f>
        <v>0</v>
      </c>
      <c r="D229" s="95">
        <f>+'DISTRIBUTIVO SUELDOS Y SALARIOS'!G86+'DISTRIBUTIVO SUELDOS Y SALARIOS'!G88</f>
        <v>10080.0448</v>
      </c>
      <c r="E229" s="95">
        <f t="shared" si="53"/>
        <v>10080.0448</v>
      </c>
      <c r="F229" s="95">
        <f>-REFORMAS!D26-REFORMAS!D54+79</f>
        <v>-3134.58</v>
      </c>
      <c r="G229" s="95">
        <f t="shared" si="54"/>
        <v>6945.4648</v>
      </c>
      <c r="H229" s="95">
        <v>1778.67</v>
      </c>
      <c r="I229" s="95">
        <v>1333.34</v>
      </c>
      <c r="J229" s="95"/>
      <c r="K229" s="95">
        <v>3833.36</v>
      </c>
      <c r="L229" s="95">
        <f t="shared" si="55"/>
        <v>6945.370000000001</v>
      </c>
      <c r="M229" s="95">
        <f t="shared" si="56"/>
        <v>0.09479999999894062</v>
      </c>
      <c r="N229" s="171" t="s">
        <v>312</v>
      </c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</row>
    <row r="230" spans="1:26" ht="14.25">
      <c r="A230" s="89" t="s">
        <v>124</v>
      </c>
      <c r="B230" s="89" t="s">
        <v>313</v>
      </c>
      <c r="C230" s="89">
        <f t="shared" si="57"/>
        <v>0</v>
      </c>
      <c r="D230" s="95">
        <v>0.01</v>
      </c>
      <c r="E230" s="95">
        <f t="shared" si="53"/>
        <v>0.01</v>
      </c>
      <c r="F230" s="164">
        <f>+REFORMAS!C39+22</f>
        <v>502</v>
      </c>
      <c r="G230" s="95">
        <f t="shared" si="54"/>
        <v>502.01</v>
      </c>
      <c r="H230" s="95"/>
      <c r="I230" s="95"/>
      <c r="J230" s="95"/>
      <c r="K230" s="95">
        <v>501.11</v>
      </c>
      <c r="L230" s="95">
        <f t="shared" si="55"/>
        <v>501.11</v>
      </c>
      <c r="M230" s="95">
        <f t="shared" si="56"/>
        <v>0.8999999999999773</v>
      </c>
      <c r="N230" s="10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</row>
    <row r="231" spans="1:26" ht="14.25">
      <c r="A231" s="89" t="s">
        <v>127</v>
      </c>
      <c r="B231" s="89" t="s">
        <v>128</v>
      </c>
      <c r="C231" s="89">
        <f t="shared" si="57"/>
        <v>0</v>
      </c>
      <c r="D231" s="95">
        <v>0.01</v>
      </c>
      <c r="E231" s="95">
        <f t="shared" si="53"/>
        <v>0.01</v>
      </c>
      <c r="F231" s="95"/>
      <c r="G231" s="95">
        <f t="shared" si="54"/>
        <v>0.01</v>
      </c>
      <c r="H231" s="95"/>
      <c r="I231" s="95"/>
      <c r="J231" s="95"/>
      <c r="K231" s="95"/>
      <c r="L231" s="95">
        <f t="shared" si="55"/>
        <v>0</v>
      </c>
      <c r="M231" s="95">
        <f t="shared" si="56"/>
        <v>0.01</v>
      </c>
      <c r="N231" s="10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</row>
    <row r="232" spans="1:26" ht="14.25">
      <c r="A232" s="89" t="s">
        <v>136</v>
      </c>
      <c r="B232" s="89" t="s">
        <v>227</v>
      </c>
      <c r="C232" s="89">
        <f t="shared" si="57"/>
        <v>0</v>
      </c>
      <c r="D232" s="95">
        <v>0.01</v>
      </c>
      <c r="E232" s="95">
        <f t="shared" si="53"/>
        <v>0.01</v>
      </c>
      <c r="F232" s="95"/>
      <c r="G232" s="95">
        <f t="shared" si="54"/>
        <v>0.01</v>
      </c>
      <c r="H232" s="95"/>
      <c r="I232" s="95"/>
      <c r="J232" s="95"/>
      <c r="K232" s="95"/>
      <c r="L232" s="95">
        <f t="shared" si="55"/>
        <v>0</v>
      </c>
      <c r="M232" s="95">
        <f t="shared" si="56"/>
        <v>0.01</v>
      </c>
      <c r="N232" s="10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</row>
    <row r="233" spans="1:26" ht="14.25">
      <c r="A233" s="89" t="s">
        <v>142</v>
      </c>
      <c r="B233" s="89" t="s">
        <v>143</v>
      </c>
      <c r="C233" s="89">
        <f t="shared" si="57"/>
        <v>0</v>
      </c>
      <c r="D233" s="95">
        <v>0.01</v>
      </c>
      <c r="E233" s="95">
        <f t="shared" si="53"/>
        <v>0.01</v>
      </c>
      <c r="F233" s="95"/>
      <c r="G233" s="95">
        <f t="shared" si="54"/>
        <v>0.01</v>
      </c>
      <c r="H233" s="95"/>
      <c r="I233" s="95"/>
      <c r="J233" s="95"/>
      <c r="K233" s="95"/>
      <c r="L233" s="95">
        <f t="shared" si="55"/>
        <v>0</v>
      </c>
      <c r="M233" s="95">
        <f t="shared" si="56"/>
        <v>0.01</v>
      </c>
      <c r="N233" s="10"/>
      <c r="O233" s="172"/>
      <c r="P233" s="172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</row>
    <row r="234" spans="1:26" ht="14.25">
      <c r="A234" s="89" t="str">
        <f>+A120</f>
        <v>750109</v>
      </c>
      <c r="B234" s="89" t="str">
        <f>+B120</f>
        <v>Construcciones Agropecuarias</v>
      </c>
      <c r="C234" s="89">
        <f t="shared" si="57"/>
        <v>0</v>
      </c>
      <c r="D234" s="95">
        <v>0.01</v>
      </c>
      <c r="E234" s="95">
        <f t="shared" si="53"/>
        <v>0.01</v>
      </c>
      <c r="F234" s="95"/>
      <c r="G234" s="95">
        <f t="shared" si="54"/>
        <v>0.01</v>
      </c>
      <c r="H234" s="95"/>
      <c r="I234" s="95"/>
      <c r="J234" s="95"/>
      <c r="K234" s="95"/>
      <c r="L234" s="95">
        <f t="shared" si="55"/>
        <v>0</v>
      </c>
      <c r="M234" s="95">
        <f t="shared" si="56"/>
        <v>0.01</v>
      </c>
      <c r="N234" s="10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</row>
    <row r="235" spans="1:26" ht="14.25">
      <c r="A235" s="89" t="s">
        <v>164</v>
      </c>
      <c r="B235" s="89" t="s">
        <v>165</v>
      </c>
      <c r="C235" s="89">
        <f t="shared" si="57"/>
        <v>0</v>
      </c>
      <c r="D235" s="95">
        <v>33600</v>
      </c>
      <c r="E235" s="95">
        <f t="shared" si="53"/>
        <v>33600</v>
      </c>
      <c r="F235" s="164">
        <f>+REFORMAS!C15+REFORMAS!C43-REFORMAS!D10-22</f>
        <v>40541.92</v>
      </c>
      <c r="G235" s="95">
        <f t="shared" si="54"/>
        <v>74141.92</v>
      </c>
      <c r="H235" s="95"/>
      <c r="I235" s="95"/>
      <c r="J235" s="95">
        <v>24193.14</v>
      </c>
      <c r="K235" s="95">
        <v>3806.86</v>
      </c>
      <c r="L235" s="95">
        <f t="shared" si="55"/>
        <v>28000</v>
      </c>
      <c r="M235" s="95">
        <f>G235-L235</f>
        <v>46141.92</v>
      </c>
      <c r="N235" s="171" t="s">
        <v>314</v>
      </c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</row>
    <row r="236" spans="1:26" ht="14.25">
      <c r="A236" s="10"/>
      <c r="B236" s="156" t="s">
        <v>6</v>
      </c>
      <c r="C236" s="159">
        <f aca="true" t="shared" si="58" ref="C236:F236">SUM(C226:C235)</f>
        <v>0</v>
      </c>
      <c r="D236" s="159">
        <f t="shared" si="58"/>
        <v>43680.124800000005</v>
      </c>
      <c r="E236" s="159">
        <f t="shared" si="58"/>
        <v>43680.124800000005</v>
      </c>
      <c r="F236" s="159">
        <f t="shared" si="58"/>
        <v>37909.34</v>
      </c>
      <c r="G236" s="159">
        <f aca="true" t="shared" si="59" ref="G236:M236">SUM(G226:G235)</f>
        <v>81589.4648</v>
      </c>
      <c r="H236" s="159">
        <f t="shared" si="59"/>
        <v>1778.67</v>
      </c>
      <c r="I236" s="159">
        <f t="shared" si="59"/>
        <v>1333.34</v>
      </c>
      <c r="J236" s="159">
        <f t="shared" si="59"/>
        <v>24193.14</v>
      </c>
      <c r="K236" s="159">
        <f t="shared" si="59"/>
        <v>8141.33</v>
      </c>
      <c r="L236" s="159">
        <f t="shared" si="59"/>
        <v>35446.48</v>
      </c>
      <c r="M236" s="159">
        <f t="shared" si="59"/>
        <v>46142.9848</v>
      </c>
      <c r="N236" s="10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</row>
    <row r="237" spans="1:26" ht="14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</row>
    <row r="238" spans="1:26" ht="14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</row>
    <row r="239" spans="1:26" ht="14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</row>
    <row r="240" spans="1:26" ht="14.25">
      <c r="A240" s="228" t="s">
        <v>205</v>
      </c>
      <c r="B240" s="228"/>
      <c r="C240" s="228"/>
      <c r="D240" s="228"/>
      <c r="E240" s="228"/>
      <c r="F240" s="10"/>
      <c r="G240" s="10"/>
      <c r="H240" s="10"/>
      <c r="I240" s="10"/>
      <c r="J240" s="10"/>
      <c r="K240" s="10"/>
      <c r="L240" s="10"/>
      <c r="M240" s="10"/>
      <c r="N240" s="10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</row>
    <row r="241" spans="1:26" ht="14.25">
      <c r="A241" s="228" t="s">
        <v>206</v>
      </c>
      <c r="B241" s="228"/>
      <c r="C241" s="228"/>
      <c r="D241" s="228"/>
      <c r="E241" s="228"/>
      <c r="F241" s="10"/>
      <c r="G241" s="10"/>
      <c r="H241" s="10"/>
      <c r="I241" s="10"/>
      <c r="J241" s="10"/>
      <c r="K241" s="10"/>
      <c r="L241" s="10"/>
      <c r="M241" s="10">
        <f>28000-24193.14</f>
        <v>3806.8600000000006</v>
      </c>
      <c r="N241" s="10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</row>
    <row r="242" spans="1:26" ht="14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</row>
    <row r="243" spans="1:26" ht="14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</row>
    <row r="244" spans="1:26" ht="14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</row>
    <row r="245" spans="1:26" ht="14.25">
      <c r="A245" s="10"/>
      <c r="B245" s="10"/>
      <c r="C245" s="53">
        <f>+C32+C60+C74+C99+C126+C142+C167+C182+C215+C236</f>
        <v>0</v>
      </c>
      <c r="D245" s="53">
        <f>+D32+D60+D74+D99+D126+D142+D167+D182+D215+D236</f>
        <v>420097.1675999999</v>
      </c>
      <c r="E245" s="53">
        <f>+E32+E60+E74+E99+E126+E142+E167+E182+E215+E236</f>
        <v>420097.1675999999</v>
      </c>
      <c r="F245" s="53">
        <f>+F32+F60+F74+F99+F126+F142+F167+F182+F215+F236</f>
        <v>154307.67</v>
      </c>
      <c r="G245" s="53">
        <f>+G32+G60+G74+G99+G126+G142+G167+G182+G215+G236</f>
        <v>574404.8376</v>
      </c>
      <c r="H245" s="53"/>
      <c r="I245" s="53"/>
      <c r="J245" s="53"/>
      <c r="K245" s="53"/>
      <c r="L245" s="53"/>
      <c r="M245" s="53"/>
      <c r="N245" s="53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</row>
    <row r="246" spans="1:26" ht="14.25">
      <c r="A246" s="10"/>
      <c r="B246" s="10"/>
      <c r="C246" s="10"/>
      <c r="D246" s="10"/>
      <c r="E246" s="53"/>
      <c r="F246" s="10"/>
      <c r="G246" s="10"/>
      <c r="H246" s="10"/>
      <c r="I246" s="10"/>
      <c r="J246" s="10"/>
      <c r="K246" s="10"/>
      <c r="L246" s="10"/>
      <c r="M246" s="10"/>
      <c r="N246" s="10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</row>
    <row r="247" spans="1:26" ht="14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</row>
    <row r="248" spans="1:26" ht="14.25">
      <c r="A248" s="10"/>
      <c r="B248" s="10"/>
      <c r="C248" s="53">
        <f>+C245-'PRESUPUESTO 2022'!C108</f>
        <v>0</v>
      </c>
      <c r="D248" s="53">
        <f>+D245-'PRESUPUESTO 2022'!D108</f>
        <v>0</v>
      </c>
      <c r="E248" s="53">
        <f>+E245-'PRESUPUESTO 2022'!E108</f>
        <v>0</v>
      </c>
      <c r="F248" s="53">
        <f>+F245-'PRESUPUESTO 2022'!F108</f>
        <v>0</v>
      </c>
      <c r="G248" s="53">
        <f>+G245-'PRESUPUESTO 2022'!G108</f>
        <v>0</v>
      </c>
      <c r="H248" s="53">
        <f>+H245-'PRESUPUESTO 2022'!H108</f>
        <v>-447651.34</v>
      </c>
      <c r="I248" s="10"/>
      <c r="J248" s="10"/>
      <c r="K248" s="10"/>
      <c r="L248" s="10"/>
      <c r="M248" s="10"/>
      <c r="N248" s="10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</row>
    <row r="249" spans="1:26" ht="14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</row>
    <row r="250" spans="1:26" ht="14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</row>
    <row r="251" spans="1:26" ht="14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</row>
    <row r="252" spans="1:26" ht="14.25">
      <c r="A252" s="10"/>
      <c r="B252" s="10"/>
      <c r="C252" s="10"/>
      <c r="D252" s="10"/>
      <c r="E252" s="10"/>
      <c r="F252" s="10"/>
      <c r="G252" s="10"/>
      <c r="H252" s="53"/>
      <c r="I252" s="10"/>
      <c r="J252" s="10"/>
      <c r="K252" s="10"/>
      <c r="L252" s="10"/>
      <c r="M252" s="10"/>
      <c r="N252" s="10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</row>
    <row r="253" spans="1:26" ht="14.25">
      <c r="A253" s="10"/>
      <c r="B253" s="10"/>
      <c r="C253" s="10"/>
      <c r="D253" s="10"/>
      <c r="E253" s="10"/>
      <c r="F253" s="10"/>
      <c r="G253" s="10"/>
      <c r="H253" s="53"/>
      <c r="I253" s="10"/>
      <c r="J253" s="10"/>
      <c r="K253" s="10"/>
      <c r="L253" s="10"/>
      <c r="M253" s="10"/>
      <c r="N253" s="10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</row>
    <row r="254" spans="1:26" ht="14.25">
      <c r="A254" s="10"/>
      <c r="B254" s="10"/>
      <c r="C254" s="10"/>
      <c r="D254" s="10"/>
      <c r="E254" s="10"/>
      <c r="F254" s="10"/>
      <c r="G254" s="10"/>
      <c r="H254" s="53"/>
      <c r="I254" s="10"/>
      <c r="J254" s="10"/>
      <c r="K254" s="10"/>
      <c r="L254" s="10"/>
      <c r="M254" s="10"/>
      <c r="N254" s="10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</row>
    <row r="255" spans="1:26" ht="14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</row>
    <row r="256" spans="1:26" ht="14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</row>
    <row r="257" spans="1:26" ht="14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</row>
    <row r="258" spans="1:26" ht="14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</row>
    <row r="259" spans="1:26" ht="14.25">
      <c r="A259" s="10"/>
      <c r="B259" s="10"/>
      <c r="C259" s="53"/>
      <c r="D259" s="53"/>
      <c r="E259" s="53"/>
      <c r="F259" s="53"/>
      <c r="G259" s="10"/>
      <c r="H259" s="10"/>
      <c r="I259" s="10"/>
      <c r="J259" s="10"/>
      <c r="K259" s="10"/>
      <c r="L259" s="10"/>
      <c r="M259" s="10"/>
      <c r="N259" s="10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</row>
    <row r="260" spans="1:26" ht="14.25">
      <c r="A260" s="10"/>
      <c r="B260" s="10"/>
      <c r="C260" s="53"/>
      <c r="D260" s="53"/>
      <c r="E260" s="53"/>
      <c r="F260" s="53"/>
      <c r="G260" s="10"/>
      <c r="H260" s="10"/>
      <c r="I260" s="10"/>
      <c r="J260" s="10"/>
      <c r="K260" s="10"/>
      <c r="L260" s="10"/>
      <c r="M260" s="10"/>
      <c r="N260" s="10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</row>
    <row r="261" spans="1:26" ht="14.25">
      <c r="A261" s="10"/>
      <c r="B261" s="10"/>
      <c r="C261" s="53"/>
      <c r="D261" s="53"/>
      <c r="E261" s="53"/>
      <c r="F261" s="53"/>
      <c r="G261" s="10"/>
      <c r="H261" s="10"/>
      <c r="I261" s="10"/>
      <c r="J261" s="10"/>
      <c r="K261" s="10"/>
      <c r="L261" s="10"/>
      <c r="M261" s="10"/>
      <c r="N261" s="10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</row>
    <row r="262" spans="1:26" ht="14.25">
      <c r="A262" s="10"/>
      <c r="B262" s="10"/>
      <c r="C262" s="53"/>
      <c r="D262" s="53"/>
      <c r="E262" s="53"/>
      <c r="F262" s="53"/>
      <c r="G262" s="10"/>
      <c r="H262" s="10"/>
      <c r="I262" s="10"/>
      <c r="J262" s="10"/>
      <c r="K262" s="10"/>
      <c r="L262" s="10"/>
      <c r="M262" s="10"/>
      <c r="N262" s="10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</row>
    <row r="263" spans="1:26" ht="14.25">
      <c r="A263" s="10"/>
      <c r="B263" s="10"/>
      <c r="C263" s="53"/>
      <c r="D263" s="53"/>
      <c r="E263" s="53"/>
      <c r="F263" s="53"/>
      <c r="G263" s="10"/>
      <c r="H263" s="10"/>
      <c r="I263" s="10"/>
      <c r="J263" s="10"/>
      <c r="K263" s="10"/>
      <c r="L263" s="10"/>
      <c r="M263" s="10"/>
      <c r="N263" s="10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</row>
    <row r="264" spans="1:26" ht="14.25">
      <c r="A264" s="10"/>
      <c r="B264" s="10"/>
      <c r="C264" s="53"/>
      <c r="D264" s="53"/>
      <c r="E264" s="53"/>
      <c r="F264" s="53"/>
      <c r="G264" s="10"/>
      <c r="H264" s="10"/>
      <c r="I264" s="10"/>
      <c r="J264" s="10"/>
      <c r="K264" s="10"/>
      <c r="L264" s="10"/>
      <c r="M264" s="10"/>
      <c r="N264" s="10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</row>
    <row r="265" spans="1:26" ht="14.25">
      <c r="A265" s="10"/>
      <c r="B265" s="10"/>
      <c r="C265" s="53"/>
      <c r="D265" s="53"/>
      <c r="E265" s="53"/>
      <c r="F265" s="53"/>
      <c r="G265" s="10"/>
      <c r="H265" s="10"/>
      <c r="I265" s="10"/>
      <c r="J265" s="10"/>
      <c r="K265" s="10"/>
      <c r="L265" s="10"/>
      <c r="M265" s="10"/>
      <c r="N265" s="10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</row>
    <row r="266" spans="1:26" ht="14.25">
      <c r="A266" s="10"/>
      <c r="B266" s="10"/>
      <c r="C266" s="53"/>
      <c r="D266" s="53"/>
      <c r="E266" s="53"/>
      <c r="F266" s="53"/>
      <c r="G266" s="10"/>
      <c r="H266" s="10"/>
      <c r="I266" s="10"/>
      <c r="J266" s="10"/>
      <c r="K266" s="10"/>
      <c r="L266" s="10"/>
      <c r="M266" s="10"/>
      <c r="N266" s="10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</row>
    <row r="267" spans="1:26" ht="14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</row>
    <row r="268" spans="1:26" ht="14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</row>
    <row r="269" spans="1:26" ht="14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</row>
    <row r="270" spans="1:26" ht="14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</row>
    <row r="271" spans="1:26" ht="14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</row>
    <row r="272" spans="1:26" ht="14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</row>
    <row r="273" spans="1:26" ht="14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</row>
    <row r="274" spans="1:26" ht="14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</row>
    <row r="275" spans="1:26" ht="14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</row>
    <row r="276" spans="1:26" ht="14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</row>
    <row r="277" spans="1:26" ht="14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</row>
    <row r="278" spans="1:26" ht="14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</row>
    <row r="279" spans="1:26" ht="14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</row>
    <row r="280" spans="1:26" ht="14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</row>
    <row r="281" spans="1:26" ht="14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</row>
    <row r="282" spans="1:26" ht="14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</row>
    <row r="283" spans="1:26" ht="14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</row>
    <row r="284" spans="1:26" ht="14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</row>
    <row r="285" spans="1:26" ht="14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</row>
    <row r="286" spans="1:26" ht="14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</row>
    <row r="287" spans="1:26" ht="14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</row>
    <row r="288" spans="1:26" ht="14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</row>
    <row r="289" spans="1:26" ht="14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</row>
    <row r="290" spans="1:26" ht="14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</row>
    <row r="291" spans="1:26" ht="14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</row>
    <row r="292" spans="1:26" ht="14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</row>
    <row r="293" spans="1:26" ht="14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</row>
    <row r="294" spans="1:26" ht="14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</row>
    <row r="295" spans="1:26" ht="14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</row>
    <row r="296" spans="1:26" ht="14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</row>
    <row r="297" spans="1:26" ht="14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</row>
    <row r="298" spans="1:26" ht="14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</row>
    <row r="299" spans="1:26" ht="14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</row>
    <row r="300" spans="1:26" ht="14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</row>
    <row r="301" spans="1:26" ht="14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</row>
    <row r="302" spans="1:26" ht="14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</row>
    <row r="303" spans="1:26" ht="14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</row>
    <row r="304" spans="1:26" ht="14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</row>
    <row r="305" spans="1:26" ht="14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</row>
    <row r="306" spans="1:26" ht="14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</row>
    <row r="307" spans="1:26" ht="14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</row>
    <row r="308" spans="1:26" ht="14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</row>
    <row r="309" spans="1:26" ht="14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</row>
    <row r="310" spans="1:26" ht="14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</row>
    <row r="311" spans="1:26" ht="14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</row>
    <row r="312" spans="1:26" ht="14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</row>
    <row r="313" spans="1:26" ht="14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</row>
    <row r="314" spans="1:26" ht="14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</row>
    <row r="315" spans="1:26" ht="14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</row>
    <row r="316" spans="1:26" ht="14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</row>
    <row r="317" spans="1:26" ht="14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</row>
    <row r="318" spans="1:26" ht="14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</row>
    <row r="319" spans="1:26" ht="14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</row>
    <row r="320" spans="1:26" ht="14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</row>
    <row r="321" spans="1:26" ht="14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</row>
    <row r="322" spans="1:26" ht="14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</row>
    <row r="323" spans="1:26" ht="14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</row>
    <row r="324" spans="1:26" ht="14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</row>
    <row r="325" spans="1:26" ht="14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</row>
    <row r="326" spans="1:26" ht="14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</row>
    <row r="327" spans="1:26" ht="14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</row>
    <row r="328" spans="1:26" ht="14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</row>
    <row r="329" spans="1:26" ht="14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</row>
    <row r="330" spans="1:26" ht="14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</row>
    <row r="331" spans="1:26" ht="14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</row>
    <row r="332" spans="1:26" ht="14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</row>
    <row r="333" spans="1:26" ht="14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</row>
    <row r="334" spans="1:26" ht="14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</row>
    <row r="335" spans="1:26" ht="14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</row>
    <row r="336" spans="1:26" ht="14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</row>
    <row r="337" spans="1:26" ht="14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</row>
    <row r="338" spans="1:26" ht="14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</row>
    <row r="339" spans="1:26" ht="14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</row>
    <row r="340" spans="1:26" ht="14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</row>
    <row r="341" spans="1:26" ht="14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</row>
    <row r="342" spans="1:26" ht="14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</row>
    <row r="343" spans="1:26" ht="14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</row>
    <row r="344" spans="1:26" ht="14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</row>
    <row r="345" spans="1:26" ht="14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</row>
    <row r="346" spans="1:26" ht="14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</row>
    <row r="347" spans="1:26" ht="14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</row>
    <row r="348" spans="1:26" ht="14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</row>
    <row r="349" spans="1:26" ht="14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</row>
    <row r="350" spans="1:26" ht="14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</row>
    <row r="351" spans="1:26" ht="14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</row>
    <row r="352" spans="1:26" ht="14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</row>
    <row r="353" spans="1:26" ht="14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</row>
    <row r="354" spans="1:26" ht="14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</row>
    <row r="355" spans="1:26" ht="14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</row>
    <row r="356" spans="1:26" ht="14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</row>
    <row r="357" spans="1:26" ht="14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</row>
    <row r="358" spans="1:26" ht="14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</row>
    <row r="359" spans="1:26" ht="14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</row>
    <row r="360" spans="1:26" ht="14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</row>
    <row r="361" spans="1:26" ht="14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</row>
    <row r="362" spans="1:26" ht="14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</row>
    <row r="363" spans="1:26" ht="14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</row>
    <row r="364" spans="1:26" ht="14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</row>
    <row r="365" spans="1:26" ht="14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</row>
    <row r="366" spans="1:26" ht="14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</row>
    <row r="367" spans="1:26" ht="14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</row>
    <row r="368" spans="1:26" ht="14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</row>
    <row r="369" spans="1:26" ht="14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</row>
    <row r="370" spans="1:26" ht="14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</row>
    <row r="371" spans="1:26" ht="14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</row>
    <row r="372" spans="1:26" ht="14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</row>
    <row r="373" spans="1:26" ht="14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</row>
    <row r="374" spans="1:26" ht="14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</row>
    <row r="375" spans="1:26" ht="14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</row>
    <row r="376" spans="1:26" ht="14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</row>
    <row r="377" spans="1:26" ht="14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</row>
    <row r="378" spans="1:26" ht="14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</row>
    <row r="379" spans="1:26" ht="14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</row>
    <row r="380" spans="1:26" ht="14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</row>
    <row r="381" spans="1:26" ht="14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</row>
    <row r="382" spans="1:26" ht="14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</row>
    <row r="383" spans="1:26" ht="14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</row>
    <row r="384" spans="1:26" ht="14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</row>
    <row r="385" spans="1:26" ht="14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</row>
    <row r="386" spans="1:26" ht="14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</row>
    <row r="387" spans="1:26" ht="14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</row>
    <row r="388" spans="1:26" ht="14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</row>
    <row r="389" spans="1:26" ht="14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</row>
    <row r="390" spans="1:26" ht="14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</row>
    <row r="391" spans="1:26" ht="14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</row>
    <row r="392" spans="1:26" ht="14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</row>
    <row r="393" spans="1:26" ht="14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</row>
    <row r="394" spans="1:26" ht="14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</row>
    <row r="395" spans="1:26" ht="14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</row>
    <row r="396" spans="1:26" ht="14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</row>
    <row r="397" spans="1:26" ht="14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</row>
    <row r="398" spans="1:26" ht="14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</row>
    <row r="399" spans="1:26" ht="14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</row>
    <row r="400" spans="1:26" ht="14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</row>
    <row r="401" spans="1:26" ht="14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</row>
    <row r="402" spans="1:26" ht="14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</row>
    <row r="403" spans="1:26" ht="14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</row>
    <row r="404" spans="1:26" ht="14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</row>
    <row r="405" spans="1:26" ht="14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</row>
    <row r="406" spans="1:26" ht="14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</row>
    <row r="407" spans="1:26" ht="14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</row>
    <row r="408" spans="1:26" ht="14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</row>
    <row r="409" spans="1:26" ht="14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</row>
    <row r="410" spans="1:26" ht="14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</row>
    <row r="411" spans="1:26" ht="14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</row>
    <row r="412" spans="1:26" ht="14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</row>
    <row r="413" spans="1:26" ht="14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</row>
    <row r="414" spans="1:26" ht="14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</row>
    <row r="415" spans="1:26" ht="14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</row>
    <row r="416" spans="1:26" ht="14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</row>
    <row r="417" spans="1:26" ht="14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</row>
    <row r="418" spans="1:26" ht="14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</row>
    <row r="419" spans="1:26" ht="14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</row>
    <row r="420" spans="1:26" ht="14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</row>
    <row r="421" spans="1:26" ht="14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</row>
    <row r="422" spans="1:26" ht="14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</row>
    <row r="423" spans="1:26" ht="14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</row>
    <row r="424" spans="1:26" ht="14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</row>
    <row r="425" spans="1:26" ht="14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</row>
    <row r="426" spans="1:26" ht="14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</row>
    <row r="427" spans="1:26" ht="14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</row>
    <row r="428" spans="1:26" ht="14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</row>
    <row r="429" spans="1:26" ht="14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</row>
    <row r="430" spans="1:26" ht="14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</row>
    <row r="431" spans="1:26" ht="14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</row>
    <row r="432" spans="1:26" ht="14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</row>
    <row r="433" spans="1:26" ht="14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</row>
    <row r="434" spans="1:26" ht="14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</row>
    <row r="435" spans="1:26" ht="14.25">
      <c r="A435" s="166"/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</row>
    <row r="436" spans="1:26" ht="14.25">
      <c r="A436" s="166"/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</row>
  </sheetData>
  <mergeCells count="32">
    <mergeCell ref="A240:E240"/>
    <mergeCell ref="A241:E241"/>
    <mergeCell ref="A187:E187"/>
    <mergeCell ref="H193:L193"/>
    <mergeCell ref="A219:E219"/>
    <mergeCell ref="A220:E220"/>
    <mergeCell ref="H224:L224"/>
    <mergeCell ref="H151:L151"/>
    <mergeCell ref="A171:E171"/>
    <mergeCell ref="A172:E172"/>
    <mergeCell ref="H177:L177"/>
    <mergeCell ref="A186:E186"/>
    <mergeCell ref="A130:E130"/>
    <mergeCell ref="A131:E131"/>
    <mergeCell ref="H136:L136"/>
    <mergeCell ref="A146:E146"/>
    <mergeCell ref="A147:E147"/>
    <mergeCell ref="A79:E79"/>
    <mergeCell ref="H83:L83"/>
    <mergeCell ref="A103:E103"/>
    <mergeCell ref="A104:E104"/>
    <mergeCell ref="H108:L108"/>
    <mergeCell ref="H41:L41"/>
    <mergeCell ref="A64:E64"/>
    <mergeCell ref="A65:E65"/>
    <mergeCell ref="H69:L69"/>
    <mergeCell ref="A78:E78"/>
    <mergeCell ref="A1:E1"/>
    <mergeCell ref="H4:L4"/>
    <mergeCell ref="H5:K5"/>
    <mergeCell ref="A36:E36"/>
    <mergeCell ref="A37:E37"/>
  </mergeCells>
  <printOptions/>
  <pageMargins left="0.708661417322835" right="0.708661417322835" top="0.84375" bottom="0.748031496062992" header="0.31496062992126" footer="0.31496062992126"/>
  <pageSetup horizontalDpi="600" verticalDpi="600" orientation="portrait" paperSize="9" scale="55" r:id="rId4"/>
  <headerFooter>
    <oddHeader>&amp;C&amp;G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108"/>
  <sheetViews>
    <sheetView showGridLines="0" view="pageLayout" zoomScale="85" zoomScalePageLayoutView="85" workbookViewId="0" topLeftCell="A4">
      <selection activeCell="I12" sqref="I12"/>
    </sheetView>
  </sheetViews>
  <sheetFormatPr defaultColWidth="11.00390625" defaultRowHeight="15"/>
  <cols>
    <col min="2" max="2" width="28.7109375" style="0" customWidth="1"/>
    <col min="3" max="3" width="29.7109375" style="0" customWidth="1"/>
    <col min="4" max="4" width="15.7109375" style="0" customWidth="1"/>
    <col min="5" max="5" width="18.140625" style="0" customWidth="1"/>
    <col min="6" max="6" width="14.140625" style="0" customWidth="1"/>
    <col min="7" max="8" width="12.7109375" style="0" customWidth="1"/>
    <col min="9" max="9" width="13.8515625" style="0" customWidth="1"/>
    <col min="10" max="10" width="15.140625" style="0" customWidth="1"/>
  </cols>
  <sheetData>
    <row r="2" spans="2:10" ht="25.5" customHeight="1">
      <c r="B2" s="229" t="s">
        <v>315</v>
      </c>
      <c r="C2" s="229"/>
      <c r="D2" s="229"/>
      <c r="E2" s="229"/>
      <c r="F2" s="229"/>
      <c r="G2" s="229"/>
      <c r="H2" s="229"/>
      <c r="I2" s="229"/>
      <c r="J2" s="229"/>
    </row>
    <row r="3" spans="2:10" ht="20.25">
      <c r="B3" s="230" t="s">
        <v>316</v>
      </c>
      <c r="C3" s="230"/>
      <c r="D3" s="230"/>
      <c r="E3" s="230"/>
      <c r="F3" s="230"/>
      <c r="G3" s="230"/>
      <c r="H3" s="230"/>
      <c r="I3" s="230"/>
      <c r="J3" s="230"/>
    </row>
    <row r="4" spans="2:10" ht="50.25" customHeight="1">
      <c r="B4" s="108" t="s">
        <v>317</v>
      </c>
      <c r="C4" s="108" t="s">
        <v>318</v>
      </c>
      <c r="D4" s="109" t="s">
        <v>319</v>
      </c>
      <c r="E4" s="109" t="s">
        <v>320</v>
      </c>
      <c r="F4" s="109" t="s">
        <v>321</v>
      </c>
      <c r="G4" s="109" t="s">
        <v>322</v>
      </c>
      <c r="H4" s="109" t="s">
        <v>323</v>
      </c>
      <c r="I4" s="109" t="s">
        <v>324</v>
      </c>
      <c r="J4" s="109" t="s">
        <v>325</v>
      </c>
    </row>
    <row r="5" spans="2:10" ht="29.25" customHeight="1">
      <c r="B5" s="110" t="s">
        <v>326</v>
      </c>
      <c r="C5" s="110" t="s">
        <v>327</v>
      </c>
      <c r="D5" s="111">
        <v>1340</v>
      </c>
      <c r="E5" s="111">
        <f>D5*12</f>
        <v>16080</v>
      </c>
      <c r="F5" s="111">
        <f>D5</f>
        <v>1340</v>
      </c>
      <c r="G5" s="111">
        <v>425</v>
      </c>
      <c r="H5" s="111">
        <f>(D5/12)*12</f>
        <v>1340</v>
      </c>
      <c r="I5" s="111">
        <f>E5*11.15%</f>
        <v>1792.92</v>
      </c>
      <c r="J5" s="111">
        <f>E5+F5+G5+H5+I5</f>
        <v>20977.92</v>
      </c>
    </row>
    <row r="6" spans="2:10" ht="29.25" customHeight="1">
      <c r="B6" s="110" t="s">
        <v>328</v>
      </c>
      <c r="C6" s="110" t="s">
        <v>329</v>
      </c>
      <c r="D6" s="111">
        <v>733</v>
      </c>
      <c r="E6" s="111">
        <f aca="true" t="shared" si="0" ref="E6:E10">D6*12</f>
        <v>8796</v>
      </c>
      <c r="F6" s="111">
        <f aca="true" t="shared" si="1" ref="F6:F10">D6</f>
        <v>733</v>
      </c>
      <c r="G6" s="111">
        <v>425</v>
      </c>
      <c r="H6" s="111">
        <f aca="true" t="shared" si="2" ref="H6:H10">(D6/12)*12</f>
        <v>733</v>
      </c>
      <c r="I6" s="111">
        <f aca="true" t="shared" si="3" ref="I6:I10">E6*11.15%</f>
        <v>980.754</v>
      </c>
      <c r="J6" s="111">
        <f aca="true" t="shared" si="4" ref="J6:J10">E6+F6+G6+H6+I6</f>
        <v>11667.754</v>
      </c>
    </row>
    <row r="7" spans="2:10" ht="29.25" customHeight="1">
      <c r="B7" s="110" t="s">
        <v>330</v>
      </c>
      <c r="C7" s="110" t="s">
        <v>331</v>
      </c>
      <c r="D7" s="111">
        <v>425</v>
      </c>
      <c r="E7" s="111">
        <f t="shared" si="0"/>
        <v>5100</v>
      </c>
      <c r="F7" s="111">
        <f t="shared" si="1"/>
        <v>425</v>
      </c>
      <c r="G7" s="111">
        <v>425</v>
      </c>
      <c r="H7" s="111">
        <f t="shared" si="2"/>
        <v>425</v>
      </c>
      <c r="I7" s="111">
        <f t="shared" si="3"/>
        <v>568.65</v>
      </c>
      <c r="J7" s="111">
        <f t="shared" si="4"/>
        <v>6943.65</v>
      </c>
    </row>
    <row r="8" spans="2:10" ht="29.25" customHeight="1">
      <c r="B8" s="110" t="s">
        <v>332</v>
      </c>
      <c r="C8" s="110" t="s">
        <v>333</v>
      </c>
      <c r="D8" s="111">
        <v>425</v>
      </c>
      <c r="E8" s="111">
        <f t="shared" si="0"/>
        <v>5100</v>
      </c>
      <c r="F8" s="111">
        <f t="shared" si="1"/>
        <v>425</v>
      </c>
      <c r="G8" s="111">
        <v>425</v>
      </c>
      <c r="H8" s="111">
        <f t="shared" si="2"/>
        <v>425</v>
      </c>
      <c r="I8" s="111">
        <f t="shared" si="3"/>
        <v>568.65</v>
      </c>
      <c r="J8" s="111">
        <f t="shared" si="4"/>
        <v>6943.65</v>
      </c>
    </row>
    <row r="9" spans="2:10" ht="29.25" customHeight="1">
      <c r="B9" s="110" t="s">
        <v>334</v>
      </c>
      <c r="C9" s="110" t="s">
        <v>333</v>
      </c>
      <c r="D9" s="111">
        <v>425</v>
      </c>
      <c r="E9" s="111">
        <f t="shared" si="0"/>
        <v>5100</v>
      </c>
      <c r="F9" s="111">
        <f t="shared" si="1"/>
        <v>425</v>
      </c>
      <c r="G9" s="111">
        <v>425</v>
      </c>
      <c r="H9" s="111">
        <f t="shared" si="2"/>
        <v>425</v>
      </c>
      <c r="I9" s="111">
        <f t="shared" si="3"/>
        <v>568.65</v>
      </c>
      <c r="J9" s="111">
        <f t="shared" si="4"/>
        <v>6943.65</v>
      </c>
    </row>
    <row r="10" spans="2:10" ht="29.25" customHeight="1">
      <c r="B10" s="110" t="s">
        <v>335</v>
      </c>
      <c r="C10" s="110" t="s">
        <v>333</v>
      </c>
      <c r="D10" s="111">
        <v>425</v>
      </c>
      <c r="E10" s="111">
        <f t="shared" si="0"/>
        <v>5100</v>
      </c>
      <c r="F10" s="111">
        <f t="shared" si="1"/>
        <v>425</v>
      </c>
      <c r="G10" s="111">
        <v>425</v>
      </c>
      <c r="H10" s="111">
        <f t="shared" si="2"/>
        <v>425</v>
      </c>
      <c r="I10" s="111">
        <f t="shared" si="3"/>
        <v>568.65</v>
      </c>
      <c r="J10" s="111">
        <f t="shared" si="4"/>
        <v>6943.65</v>
      </c>
    </row>
    <row r="11" spans="2:10" ht="29.25" customHeight="1">
      <c r="B11" s="112"/>
      <c r="C11" s="112"/>
      <c r="D11" s="113"/>
      <c r="E11" s="114">
        <f aca="true" t="shared" si="5" ref="E11:J11">SUM(E5:E10)</f>
        <v>45276</v>
      </c>
      <c r="F11" s="114">
        <f t="shared" si="5"/>
        <v>3773</v>
      </c>
      <c r="G11" s="114">
        <f t="shared" si="5"/>
        <v>2550</v>
      </c>
      <c r="H11" s="114">
        <f t="shared" si="5"/>
        <v>3773</v>
      </c>
      <c r="I11" s="114">
        <f t="shared" si="5"/>
        <v>5048.273999999999</v>
      </c>
      <c r="J11" s="114">
        <f t="shared" si="5"/>
        <v>60420.274000000005</v>
      </c>
    </row>
    <row r="12" spans="2:10" ht="29.25" customHeight="1">
      <c r="B12" s="10"/>
      <c r="C12" s="10"/>
      <c r="D12" s="53"/>
      <c r="E12" s="53"/>
      <c r="F12" s="53"/>
      <c r="G12" s="53"/>
      <c r="H12" s="53"/>
      <c r="I12" s="53"/>
      <c r="J12" s="53"/>
    </row>
    <row r="13" spans="2:10" ht="29.25" customHeight="1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5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5">
      <c r="B16" s="73"/>
      <c r="C16" s="74"/>
      <c r="D16" s="73"/>
      <c r="E16" s="73"/>
      <c r="F16" s="73"/>
      <c r="G16" s="73"/>
      <c r="H16" s="73"/>
      <c r="I16" s="10"/>
      <c r="J16" s="10"/>
    </row>
    <row r="17" spans="2:10" ht="15">
      <c r="B17" s="231" t="s">
        <v>336</v>
      </c>
      <c r="C17" s="231"/>
      <c r="D17" s="231"/>
      <c r="E17" s="231"/>
      <c r="F17" s="231"/>
      <c r="G17" s="231"/>
      <c r="H17" s="231"/>
      <c r="I17" s="231"/>
      <c r="J17" s="231"/>
    </row>
    <row r="18" spans="2:10" ht="15">
      <c r="B18" s="232" t="s">
        <v>337</v>
      </c>
      <c r="C18" s="232"/>
      <c r="D18" s="232"/>
      <c r="E18" s="232"/>
      <c r="F18" s="232"/>
      <c r="G18" s="232"/>
      <c r="H18" s="232"/>
      <c r="I18" s="232"/>
      <c r="J18" s="232"/>
    </row>
    <row r="19" spans="2:10" ht="1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">
      <c r="B21" s="10"/>
      <c r="C21" s="10"/>
      <c r="D21" s="10"/>
      <c r="E21" s="10"/>
      <c r="F21" s="10"/>
      <c r="G21" s="10"/>
      <c r="H21" s="10"/>
      <c r="I21" s="10"/>
      <c r="J21" s="10"/>
    </row>
    <row r="22" spans="2:10" ht="15">
      <c r="B22" s="10"/>
      <c r="C22" s="10"/>
      <c r="D22" s="10"/>
      <c r="E22" s="10"/>
      <c r="F22" s="10"/>
      <c r="G22" s="10"/>
      <c r="H22" s="10"/>
      <c r="I22" s="10"/>
      <c r="J22" s="10"/>
    </row>
    <row r="23" spans="2:10" ht="15">
      <c r="B23" s="10"/>
      <c r="C23" s="10"/>
      <c r="D23" s="10"/>
      <c r="E23" s="10"/>
      <c r="F23" s="10"/>
      <c r="G23" s="10"/>
      <c r="H23" s="10"/>
      <c r="I23" s="10"/>
      <c r="J23" s="10"/>
    </row>
    <row r="24" spans="2:10" ht="15">
      <c r="B24" s="10"/>
      <c r="C24" s="10"/>
      <c r="D24" s="10"/>
      <c r="E24" s="10"/>
      <c r="F24" s="10"/>
      <c r="G24" s="10"/>
      <c r="H24" s="10"/>
      <c r="I24" s="10"/>
      <c r="J24" s="10"/>
    </row>
    <row r="25" spans="2:10" ht="15">
      <c r="B25" s="10"/>
      <c r="C25" s="10"/>
      <c r="D25" s="10"/>
      <c r="E25" s="10"/>
      <c r="F25" s="10"/>
      <c r="G25" s="10"/>
      <c r="H25" s="10"/>
      <c r="I25" s="10"/>
      <c r="J25" s="10"/>
    </row>
    <row r="26" spans="2:10" ht="15">
      <c r="B26" s="10"/>
      <c r="C26" s="10"/>
      <c r="D26" s="10"/>
      <c r="E26" s="10"/>
      <c r="F26" s="10"/>
      <c r="G26" s="10"/>
      <c r="H26" s="10"/>
      <c r="I26" s="10"/>
      <c r="J26" s="10"/>
    </row>
    <row r="27" spans="2:10" ht="15">
      <c r="B27" s="10"/>
      <c r="C27" s="10"/>
      <c r="D27" s="10"/>
      <c r="E27" s="10"/>
      <c r="F27" s="10"/>
      <c r="G27" s="10"/>
      <c r="H27" s="10"/>
      <c r="I27" s="10"/>
      <c r="J27" s="10"/>
    </row>
    <row r="28" spans="2:10" ht="15">
      <c r="B28" s="10"/>
      <c r="C28" s="10"/>
      <c r="D28" s="10"/>
      <c r="E28" s="10"/>
      <c r="F28" s="10"/>
      <c r="G28" s="10"/>
      <c r="H28" s="10"/>
      <c r="I28" s="10"/>
      <c r="J28" s="10"/>
    </row>
    <row r="29" spans="2:10" ht="15">
      <c r="B29" s="10"/>
      <c r="C29" s="10"/>
      <c r="D29" s="10"/>
      <c r="E29" s="10"/>
      <c r="F29" s="10"/>
      <c r="G29" s="10"/>
      <c r="H29" s="10"/>
      <c r="I29" s="10"/>
      <c r="J29" s="10"/>
    </row>
    <row r="30" spans="2:10" ht="15">
      <c r="B30" s="10"/>
      <c r="C30" s="10"/>
      <c r="D30" s="10"/>
      <c r="E30" s="10"/>
      <c r="F30" s="10"/>
      <c r="G30" s="10"/>
      <c r="H30" s="10"/>
      <c r="I30" s="10"/>
      <c r="J30" s="10"/>
    </row>
    <row r="31" spans="2:10" ht="15">
      <c r="B31" s="10"/>
      <c r="C31" s="10"/>
      <c r="D31" s="10"/>
      <c r="E31" s="10"/>
      <c r="F31" s="10"/>
      <c r="G31" s="10"/>
      <c r="H31" s="10"/>
      <c r="I31" s="10"/>
      <c r="J31" s="10"/>
    </row>
    <row r="32" spans="2:10" ht="15">
      <c r="B32" s="10"/>
      <c r="C32" s="10"/>
      <c r="D32" s="10"/>
      <c r="E32" s="10"/>
      <c r="F32" s="10"/>
      <c r="G32" s="10"/>
      <c r="H32" s="10"/>
      <c r="I32" s="10"/>
      <c r="J32" s="10"/>
    </row>
    <row r="33" spans="2:10" ht="15">
      <c r="B33" s="10"/>
      <c r="C33" s="10"/>
      <c r="D33" s="10"/>
      <c r="E33" s="10"/>
      <c r="F33" s="10"/>
      <c r="G33" s="10"/>
      <c r="H33" s="10"/>
      <c r="I33" s="10"/>
      <c r="J33" s="10"/>
    </row>
    <row r="34" spans="2:10" ht="15">
      <c r="B34" s="10"/>
      <c r="C34" s="10"/>
      <c r="D34" s="10"/>
      <c r="E34" s="10"/>
      <c r="F34" s="10"/>
      <c r="G34" s="10"/>
      <c r="H34" s="10"/>
      <c r="I34" s="10"/>
      <c r="J34" s="10"/>
    </row>
    <row r="35" spans="2:10" ht="15">
      <c r="B35" s="10"/>
      <c r="C35" s="10"/>
      <c r="D35" s="10"/>
      <c r="E35" s="10"/>
      <c r="F35" s="10"/>
      <c r="G35" s="10"/>
      <c r="H35" s="10"/>
      <c r="I35" s="10"/>
      <c r="J35" s="10"/>
    </row>
    <row r="36" spans="2:10" ht="15">
      <c r="B36" s="10"/>
      <c r="C36" s="10"/>
      <c r="D36" s="10"/>
      <c r="E36" s="10"/>
      <c r="F36" s="10"/>
      <c r="G36" s="10"/>
      <c r="H36" s="10"/>
      <c r="I36" s="10"/>
      <c r="J36" s="10"/>
    </row>
    <row r="37" spans="2:10" ht="27">
      <c r="B37" s="229" t="s">
        <v>315</v>
      </c>
      <c r="C37" s="229"/>
      <c r="D37" s="229"/>
      <c r="E37" s="229"/>
      <c r="F37" s="229"/>
      <c r="G37" s="229"/>
      <c r="H37" s="229"/>
      <c r="I37" s="229"/>
      <c r="J37" s="229"/>
    </row>
    <row r="38" spans="2:10" ht="20.25">
      <c r="B38" s="230" t="s">
        <v>338</v>
      </c>
      <c r="C38" s="230"/>
      <c r="D38" s="230"/>
      <c r="E38" s="230"/>
      <c r="F38" s="230"/>
      <c r="G38" s="230"/>
      <c r="H38" s="230"/>
      <c r="I38" s="230"/>
      <c r="J38" s="230"/>
    </row>
    <row r="39" spans="2:10" ht="40.5">
      <c r="B39" s="108" t="s">
        <v>317</v>
      </c>
      <c r="C39" s="108" t="s">
        <v>318</v>
      </c>
      <c r="D39" s="109" t="s">
        <v>319</v>
      </c>
      <c r="E39" s="109" t="s">
        <v>320</v>
      </c>
      <c r="F39" s="109" t="s">
        <v>321</v>
      </c>
      <c r="G39" s="109" t="s">
        <v>322</v>
      </c>
      <c r="H39" s="109" t="s">
        <v>323</v>
      </c>
      <c r="I39" s="109" t="s">
        <v>324</v>
      </c>
      <c r="J39" s="109" t="s">
        <v>325</v>
      </c>
    </row>
    <row r="40" spans="2:10" ht="27">
      <c r="B40" s="115" t="s">
        <v>339</v>
      </c>
      <c r="C40" s="116" t="s">
        <v>340</v>
      </c>
      <c r="D40" s="117">
        <v>738</v>
      </c>
      <c r="E40" s="117">
        <f>D40*12</f>
        <v>8856</v>
      </c>
      <c r="F40" s="117">
        <v>738</v>
      </c>
      <c r="G40" s="117">
        <v>425</v>
      </c>
      <c r="H40" s="117">
        <f>61.5*12</f>
        <v>738</v>
      </c>
      <c r="I40" s="117">
        <f>E40*11.15%</f>
        <v>987.444</v>
      </c>
      <c r="J40" s="117">
        <f aca="true" t="shared" si="6" ref="J40:J41">E40+F40+G40+H40+I40</f>
        <v>11744.444</v>
      </c>
    </row>
    <row r="41" spans="2:10" ht="36.75" customHeight="1">
      <c r="B41" s="118" t="s">
        <v>341</v>
      </c>
      <c r="C41" s="119" t="s">
        <v>342</v>
      </c>
      <c r="D41" s="117">
        <v>500</v>
      </c>
      <c r="E41" s="117">
        <f>D41*7</f>
        <v>3500</v>
      </c>
      <c r="F41" s="117">
        <v>738</v>
      </c>
      <c r="G41" s="117">
        <v>425</v>
      </c>
      <c r="H41" s="117">
        <f>61.5*0</f>
        <v>0</v>
      </c>
      <c r="I41" s="117">
        <f>E41*11.15%</f>
        <v>390.25</v>
      </c>
      <c r="J41" s="117">
        <f t="shared" si="6"/>
        <v>5053.25</v>
      </c>
    </row>
    <row r="42" spans="2:10" ht="15">
      <c r="B42" s="120"/>
      <c r="C42" s="120"/>
      <c r="D42" s="121"/>
      <c r="E42" s="122">
        <f>SUM(E40:E41)</f>
        <v>12356</v>
      </c>
      <c r="F42" s="122">
        <f aca="true" t="shared" si="7" ref="F42:J42">SUM(F40:F41)</f>
        <v>1476</v>
      </c>
      <c r="G42" s="122">
        <f t="shared" si="7"/>
        <v>850</v>
      </c>
      <c r="H42" s="122">
        <f t="shared" si="7"/>
        <v>738</v>
      </c>
      <c r="I42" s="122">
        <f t="shared" si="7"/>
        <v>1377.694</v>
      </c>
      <c r="J42" s="122">
        <f t="shared" si="7"/>
        <v>16797.694</v>
      </c>
    </row>
    <row r="43" spans="2:10" ht="15">
      <c r="B43" s="10"/>
      <c r="C43" s="10"/>
      <c r="D43" s="53"/>
      <c r="E43" s="53"/>
      <c r="F43" s="53"/>
      <c r="G43" s="53"/>
      <c r="H43" s="53"/>
      <c r="I43" s="53"/>
      <c r="J43" s="53"/>
    </row>
    <row r="44" spans="2:10" ht="15">
      <c r="B44" s="10"/>
      <c r="C44" s="10"/>
      <c r="D44" s="10">
        <v>653.27</v>
      </c>
      <c r="E44" s="10">
        <f>+D44*3</f>
        <v>1959.81</v>
      </c>
      <c r="F44" s="123">
        <f>(E44/12)*3</f>
        <v>489.9525</v>
      </c>
      <c r="G44" s="10">
        <f>+(425/12)*3</f>
        <v>106.25</v>
      </c>
      <c r="H44" s="10">
        <v>0</v>
      </c>
      <c r="I44" s="123">
        <f>+(D44*11.45%)*3</f>
        <v>224.39824499999997</v>
      </c>
      <c r="J44" s="123">
        <f>+E44+F44+G44+H44+I44</f>
        <v>2780.4107449999997</v>
      </c>
    </row>
    <row r="45" spans="2:10" ht="15">
      <c r="B45" s="10"/>
      <c r="C45" s="10"/>
      <c r="D45" s="10"/>
      <c r="E45" s="10"/>
      <c r="F45" s="10"/>
      <c r="G45" s="10"/>
      <c r="H45" s="10"/>
      <c r="I45" s="10"/>
      <c r="J45" s="53">
        <f>+J41-J44</f>
        <v>2272.8392550000003</v>
      </c>
    </row>
    <row r="46" spans="2:10" ht="15">
      <c r="B46" s="10"/>
      <c r="C46" s="10"/>
      <c r="D46" s="10"/>
      <c r="E46" s="53">
        <f>+E41-E44</f>
        <v>1540.19</v>
      </c>
      <c r="F46" s="53">
        <f aca="true" t="shared" si="8" ref="F46:J46">+F41-F44</f>
        <v>248.0475</v>
      </c>
      <c r="G46" s="53">
        <f t="shared" si="8"/>
        <v>318.75</v>
      </c>
      <c r="H46" s="53">
        <f t="shared" si="8"/>
        <v>0</v>
      </c>
      <c r="I46" s="53">
        <f t="shared" si="8"/>
        <v>165.85175500000003</v>
      </c>
      <c r="J46" s="53">
        <f t="shared" si="8"/>
        <v>2272.8392550000003</v>
      </c>
    </row>
    <row r="47" spans="2:10" ht="15">
      <c r="B47" s="73"/>
      <c r="C47" s="74"/>
      <c r="D47" s="73"/>
      <c r="E47" s="73"/>
      <c r="F47" s="73"/>
      <c r="G47" s="73"/>
      <c r="H47" s="73"/>
      <c r="I47" s="10"/>
      <c r="J47" s="10"/>
    </row>
    <row r="48" spans="2:10" ht="15">
      <c r="B48" s="231" t="s">
        <v>336</v>
      </c>
      <c r="C48" s="231"/>
      <c r="D48" s="231"/>
      <c r="E48" s="231"/>
      <c r="F48" s="231"/>
      <c r="G48" s="231"/>
      <c r="H48" s="231"/>
      <c r="I48" s="231"/>
      <c r="J48" s="231"/>
    </row>
    <row r="49" spans="2:10" ht="15">
      <c r="B49" s="232" t="s">
        <v>343</v>
      </c>
      <c r="C49" s="232"/>
      <c r="D49" s="232"/>
      <c r="E49" s="232"/>
      <c r="F49" s="232"/>
      <c r="G49" s="232"/>
      <c r="H49" s="232"/>
      <c r="I49" s="232"/>
      <c r="J49" s="232"/>
    </row>
    <row r="50" spans="2:10" ht="15">
      <c r="B50" s="10"/>
      <c r="C50" s="10"/>
      <c r="D50" s="10"/>
      <c r="E50" s="10"/>
      <c r="F50" s="10"/>
      <c r="G50" s="10"/>
      <c r="H50" s="10"/>
      <c r="I50" s="10"/>
      <c r="J50" s="10"/>
    </row>
    <row r="51" spans="2:10" ht="15">
      <c r="B51" s="10"/>
      <c r="C51" s="10"/>
      <c r="D51" s="10"/>
      <c r="E51" s="10"/>
      <c r="F51" s="10"/>
      <c r="G51" s="10"/>
      <c r="H51" s="10"/>
      <c r="I51" s="10"/>
      <c r="J51" s="10"/>
    </row>
    <row r="52" spans="2:10" ht="15">
      <c r="B52" s="10"/>
      <c r="C52" s="10"/>
      <c r="D52" s="10"/>
      <c r="E52" s="10"/>
      <c r="F52" s="10"/>
      <c r="G52" s="10"/>
      <c r="H52" s="10"/>
      <c r="I52" s="10"/>
      <c r="J52" s="10"/>
    </row>
    <row r="53" spans="2:10" ht="1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5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15">
      <c r="B57" s="10"/>
      <c r="C57" s="10"/>
      <c r="D57" s="10"/>
      <c r="E57" s="10"/>
      <c r="F57" s="10"/>
      <c r="G57" s="10"/>
      <c r="H57" s="10"/>
      <c r="I57" s="10"/>
      <c r="J57" s="10"/>
    </row>
    <row r="58" spans="2:10" ht="1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5">
      <c r="B62" s="10"/>
      <c r="C62" s="10"/>
      <c r="D62" s="10"/>
      <c r="E62" s="10"/>
      <c r="F62" s="10"/>
      <c r="G62" s="10"/>
      <c r="H62" s="10"/>
      <c r="I62" s="10"/>
      <c r="J62" s="10"/>
    </row>
    <row r="63" spans="2:10" ht="15">
      <c r="B63" s="10"/>
      <c r="C63" s="10"/>
      <c r="D63" s="10"/>
      <c r="E63" s="10"/>
      <c r="F63" s="10"/>
      <c r="G63" s="10"/>
      <c r="H63" s="10"/>
      <c r="I63" s="10"/>
      <c r="J63" s="10"/>
    </row>
    <row r="64" spans="2:10" ht="15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1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5">
      <c r="B68" s="10"/>
      <c r="C68" s="10"/>
      <c r="D68" s="10"/>
      <c r="E68" s="10"/>
      <c r="F68" s="10"/>
      <c r="G68" s="10"/>
      <c r="H68" s="10"/>
      <c r="I68" s="10"/>
      <c r="J68" s="10"/>
    </row>
    <row r="69" spans="2:10" ht="15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">
      <c r="B70" s="10"/>
      <c r="C70" s="10"/>
      <c r="D70" s="10"/>
      <c r="E70" s="10"/>
      <c r="F70" s="10"/>
      <c r="G70" s="10"/>
      <c r="H70" s="10"/>
      <c r="I70" s="10"/>
      <c r="J70" s="10"/>
    </row>
    <row r="71" spans="2:10" ht="15">
      <c r="B71" s="10"/>
      <c r="C71" s="10"/>
      <c r="D71" s="10"/>
      <c r="E71" s="10"/>
      <c r="F71" s="10"/>
      <c r="G71" s="10"/>
      <c r="H71" s="10"/>
      <c r="I71" s="10"/>
      <c r="J71" s="10"/>
    </row>
    <row r="72" spans="2:10" ht="15">
      <c r="B72" s="10"/>
      <c r="C72" s="10"/>
      <c r="D72" s="10"/>
      <c r="E72" s="10"/>
      <c r="F72" s="10"/>
      <c r="G72" s="10"/>
      <c r="H72" s="10"/>
      <c r="I72" s="10"/>
      <c r="J72" s="10"/>
    </row>
    <row r="73" spans="2:10" ht="15">
      <c r="B73" s="10"/>
      <c r="C73" s="10"/>
      <c r="D73" s="10"/>
      <c r="E73" s="10"/>
      <c r="F73" s="10"/>
      <c r="G73" s="10"/>
      <c r="H73" s="10"/>
      <c r="I73" s="10"/>
      <c r="J73" s="10"/>
    </row>
    <row r="74" spans="2:10" ht="15">
      <c r="B74" s="10"/>
      <c r="C74" s="10"/>
      <c r="D74" s="10"/>
      <c r="E74" s="10"/>
      <c r="F74" s="10"/>
      <c r="G74" s="10"/>
      <c r="H74" s="10"/>
      <c r="I74" s="10"/>
      <c r="J74" s="10"/>
    </row>
    <row r="75" spans="2:10" ht="15">
      <c r="B75" s="10"/>
      <c r="C75" s="10"/>
      <c r="D75" s="10"/>
      <c r="E75" s="10"/>
      <c r="F75" s="10"/>
      <c r="G75" s="10"/>
      <c r="H75" s="10"/>
      <c r="I75" s="10"/>
      <c r="J75" s="10"/>
    </row>
    <row r="76" spans="2:10" ht="15">
      <c r="B76" s="10"/>
      <c r="C76" s="10"/>
      <c r="D76" s="10"/>
      <c r="E76" s="10"/>
      <c r="F76" s="10"/>
      <c r="G76" s="10"/>
      <c r="H76" s="10"/>
      <c r="I76" s="10"/>
      <c r="J76" s="10"/>
    </row>
    <row r="77" spans="2:10" ht="15">
      <c r="B77" s="10"/>
      <c r="C77" s="10"/>
      <c r="D77" s="10"/>
      <c r="E77" s="10"/>
      <c r="F77" s="10"/>
      <c r="G77" s="10"/>
      <c r="H77" s="10"/>
      <c r="I77" s="10"/>
      <c r="J77" s="10"/>
    </row>
    <row r="78" spans="2:10" ht="15">
      <c r="B78" s="10"/>
      <c r="C78" s="10"/>
      <c r="D78" s="10"/>
      <c r="E78" s="10"/>
      <c r="F78" s="10"/>
      <c r="G78" s="10"/>
      <c r="H78" s="10"/>
      <c r="I78" s="10"/>
      <c r="J78" s="10"/>
    </row>
    <row r="81" spans="2:10" ht="27">
      <c r="B81" s="233" t="s">
        <v>315</v>
      </c>
      <c r="C81" s="234"/>
      <c r="D81" s="234"/>
      <c r="E81" s="234"/>
      <c r="F81" s="234"/>
      <c r="G81" s="234"/>
      <c r="H81" s="124"/>
      <c r="I81" s="142"/>
      <c r="J81" s="142"/>
    </row>
    <row r="82" spans="2:10" ht="20.25">
      <c r="B82" s="235" t="s">
        <v>316</v>
      </c>
      <c r="C82" s="236"/>
      <c r="D82" s="236"/>
      <c r="E82" s="236"/>
      <c r="F82" s="236"/>
      <c r="G82" s="236"/>
      <c r="H82" s="125"/>
      <c r="I82" s="143"/>
      <c r="J82" s="143"/>
    </row>
    <row r="83" spans="2:10" ht="27">
      <c r="B83" s="108" t="s">
        <v>317</v>
      </c>
      <c r="C83" s="108" t="s">
        <v>318</v>
      </c>
      <c r="D83" s="109" t="s">
        <v>344</v>
      </c>
      <c r="E83" s="109" t="s">
        <v>34</v>
      </c>
      <c r="F83" s="109" t="s">
        <v>345</v>
      </c>
      <c r="G83" s="126" t="s">
        <v>346</v>
      </c>
      <c r="H83" s="127"/>
      <c r="I83" s="144"/>
      <c r="J83" s="144"/>
    </row>
    <row r="84" spans="2:10" ht="28.5">
      <c r="B84" s="110"/>
      <c r="C84" s="110" t="s">
        <v>475</v>
      </c>
      <c r="D84" s="128">
        <f>700</f>
        <v>700</v>
      </c>
      <c r="E84" s="128">
        <f aca="true" t="shared" si="9" ref="E84:E91">+D84*0.12</f>
        <v>84</v>
      </c>
      <c r="F84" s="128">
        <f>+D84+E84</f>
        <v>784</v>
      </c>
      <c r="G84" s="129">
        <f>+F84*7</f>
        <v>5488</v>
      </c>
      <c r="H84" s="130">
        <f>666.67+666.67</f>
        <v>1333.34</v>
      </c>
      <c r="I84" s="145">
        <f>666.67*4</f>
        <v>2666.68</v>
      </c>
      <c r="J84" s="145">
        <f>+G84-H84-I84</f>
        <v>1487.98</v>
      </c>
    </row>
    <row r="85" spans="2:10" ht="27">
      <c r="B85" s="131"/>
      <c r="C85" s="132" t="s">
        <v>347</v>
      </c>
      <c r="D85" s="133">
        <v>555.56</v>
      </c>
      <c r="E85" s="133">
        <f t="shared" si="9"/>
        <v>66.6672</v>
      </c>
      <c r="F85" s="128">
        <f aca="true" t="shared" si="10" ref="F85:F91">+D85+E85</f>
        <v>622.2271999999999</v>
      </c>
      <c r="G85" s="129">
        <f aca="true" t="shared" si="11" ref="G85:G91">+F85*12</f>
        <v>7466.7264</v>
      </c>
      <c r="H85" s="130">
        <f>2222.24+555.56+1111.12+1111.12</f>
        <v>5000.039999999999</v>
      </c>
      <c r="I85" s="145">
        <f>550*3</f>
        <v>1650</v>
      </c>
      <c r="J85" s="145">
        <f aca="true" t="shared" si="12" ref="J85:J91">+G85-H85-I85</f>
        <v>816.6864000000005</v>
      </c>
    </row>
    <row r="86" spans="2:10" ht="27">
      <c r="B86" s="131"/>
      <c r="C86" s="132" t="s">
        <v>348</v>
      </c>
      <c r="D86" s="133">
        <v>666.67</v>
      </c>
      <c r="E86" s="133">
        <f t="shared" si="9"/>
        <v>80.0004</v>
      </c>
      <c r="F86" s="128">
        <f t="shared" si="10"/>
        <v>746.6704</v>
      </c>
      <c r="G86" s="129">
        <f t="shared" si="11"/>
        <v>8960.0448</v>
      </c>
      <c r="H86" s="130">
        <f>556+556+666.67+666.67+666.67+666.67</f>
        <v>3778.6800000000003</v>
      </c>
      <c r="I86" s="145">
        <f>+(611.11*3)+(444.45)</f>
        <v>2277.7799999999997</v>
      </c>
      <c r="J86" s="145">
        <f t="shared" si="12"/>
        <v>2903.5847999999996</v>
      </c>
    </row>
    <row r="87" spans="2:10" ht="27">
      <c r="B87" s="131"/>
      <c r="C87" s="132" t="s">
        <v>349</v>
      </c>
      <c r="D87" s="133">
        <v>555.56</v>
      </c>
      <c r="E87" s="133">
        <f t="shared" si="9"/>
        <v>66.6672</v>
      </c>
      <c r="F87" s="128">
        <f t="shared" si="10"/>
        <v>622.2271999999999</v>
      </c>
      <c r="G87" s="129">
        <f>+F87*7</f>
        <v>4355.590399999999</v>
      </c>
      <c r="H87" s="130"/>
      <c r="I87" s="145">
        <v>4355.59</v>
      </c>
      <c r="J87" s="145">
        <f t="shared" si="12"/>
        <v>0.0003999999989900971</v>
      </c>
    </row>
    <row r="88" spans="2:10" ht="27">
      <c r="B88" s="131"/>
      <c r="C88" s="132" t="s">
        <v>350</v>
      </c>
      <c r="D88" s="133">
        <v>1000</v>
      </c>
      <c r="E88" s="133">
        <f t="shared" si="9"/>
        <v>120</v>
      </c>
      <c r="F88" s="128">
        <f t="shared" si="10"/>
        <v>1120</v>
      </c>
      <c r="G88" s="129">
        <f>+F88*1</f>
        <v>1120</v>
      </c>
      <c r="H88" s="130">
        <v>810</v>
      </c>
      <c r="I88" s="145"/>
      <c r="J88" s="145">
        <f t="shared" si="12"/>
        <v>310</v>
      </c>
    </row>
    <row r="89" spans="2:10" ht="27">
      <c r="B89" s="131"/>
      <c r="C89" s="132" t="s">
        <v>351</v>
      </c>
      <c r="D89" s="133">
        <v>2700</v>
      </c>
      <c r="E89" s="133">
        <f t="shared" si="9"/>
        <v>324</v>
      </c>
      <c r="F89" s="128">
        <f t="shared" si="10"/>
        <v>3024</v>
      </c>
      <c r="G89" s="129">
        <f>+F89*1</f>
        <v>3024</v>
      </c>
      <c r="H89" s="130">
        <f>1604.19+1145.85</f>
        <v>2750.04</v>
      </c>
      <c r="I89" s="145"/>
      <c r="J89" s="145">
        <f t="shared" si="12"/>
        <v>273.96000000000004</v>
      </c>
    </row>
    <row r="90" spans="2:10" ht="15">
      <c r="B90" s="131"/>
      <c r="C90" s="132" t="s">
        <v>352</v>
      </c>
      <c r="D90" s="133">
        <v>4000</v>
      </c>
      <c r="E90" s="133">
        <f t="shared" si="9"/>
        <v>480</v>
      </c>
      <c r="F90" s="128">
        <f t="shared" si="10"/>
        <v>4480</v>
      </c>
      <c r="G90" s="129">
        <f>+F90*2</f>
        <v>8960</v>
      </c>
      <c r="H90" s="130">
        <v>1000</v>
      </c>
      <c r="I90" s="145">
        <v>4800</v>
      </c>
      <c r="J90" s="145">
        <f>+G90-H90-I90-771.02</f>
        <v>2388.98</v>
      </c>
    </row>
    <row r="91" spans="2:10" ht="28.5">
      <c r="B91" s="134"/>
      <c r="C91" s="135" t="s">
        <v>353</v>
      </c>
      <c r="D91" s="136">
        <v>444.45</v>
      </c>
      <c r="E91" s="133">
        <f t="shared" si="9"/>
        <v>53.333999999999996</v>
      </c>
      <c r="F91" s="128">
        <f t="shared" si="10"/>
        <v>497.784</v>
      </c>
      <c r="G91" s="129">
        <f t="shared" si="11"/>
        <v>5973.407999999999</v>
      </c>
      <c r="H91" s="137">
        <f>444.45+444.45+444.45+444.45+444.45+444.45+444.45+444.45+444.45</f>
        <v>4000.0499999999993</v>
      </c>
      <c r="I91" s="145">
        <f>444.45*3</f>
        <v>1333.35</v>
      </c>
      <c r="J91" s="145">
        <f t="shared" si="12"/>
        <v>640.0080000000003</v>
      </c>
    </row>
    <row r="92" spans="2:10" ht="15">
      <c r="B92" s="112"/>
      <c r="C92" s="112"/>
      <c r="D92" s="138"/>
      <c r="E92" s="139">
        <f>SUM(E84:E84)</f>
        <v>84</v>
      </c>
      <c r="F92" s="139">
        <f>SUM(F84:F84)</f>
        <v>784</v>
      </c>
      <c r="G92" s="140">
        <f>SUM(G84:G91)</f>
        <v>45347.7696</v>
      </c>
      <c r="H92" s="141"/>
      <c r="I92" s="146"/>
      <c r="J92" s="146">
        <f>SUM(J84:J91)</f>
        <v>8821.1996</v>
      </c>
    </row>
    <row r="93" spans="2:10" ht="15">
      <c r="B93" s="10"/>
      <c r="C93" s="10"/>
      <c r="D93" s="53"/>
      <c r="E93" s="53"/>
      <c r="F93" s="53"/>
      <c r="G93" s="53"/>
      <c r="H93" s="53"/>
      <c r="I93" s="53"/>
      <c r="J93" s="53"/>
    </row>
    <row r="94" spans="2:10" ht="15">
      <c r="B94" s="10"/>
      <c r="C94" s="10"/>
      <c r="D94" s="10"/>
      <c r="E94" s="10"/>
      <c r="F94" s="10"/>
      <c r="G94" s="10"/>
      <c r="H94" s="10"/>
      <c r="I94" s="10"/>
      <c r="J94" s="10"/>
    </row>
    <row r="95" spans="2:10" ht="15">
      <c r="B95" s="10"/>
      <c r="C95" s="10"/>
      <c r="D95" s="10"/>
      <c r="E95" s="10"/>
      <c r="F95" s="10"/>
      <c r="G95" s="53"/>
      <c r="H95" s="10"/>
      <c r="I95" s="10"/>
      <c r="J95" s="10"/>
    </row>
    <row r="96" spans="2:10" ht="15">
      <c r="B96" s="10"/>
      <c r="C96" s="10"/>
      <c r="D96" s="10"/>
      <c r="E96" s="10"/>
      <c r="F96" s="10"/>
      <c r="G96" s="10"/>
      <c r="H96" s="10"/>
      <c r="I96" s="10">
        <f>2000/10</f>
        <v>200</v>
      </c>
      <c r="J96" s="10"/>
    </row>
    <row r="97" spans="2:10" ht="15">
      <c r="B97" s="73"/>
      <c r="C97" s="74"/>
      <c r="D97" s="73"/>
      <c r="E97" s="73"/>
      <c r="F97" s="73"/>
      <c r="G97" s="73"/>
      <c r="H97" s="73"/>
      <c r="I97" s="10"/>
      <c r="J97" s="10"/>
    </row>
    <row r="98" spans="2:10" ht="15">
      <c r="B98" s="231" t="s">
        <v>336</v>
      </c>
      <c r="C98" s="231"/>
      <c r="D98" s="231"/>
      <c r="E98" s="231"/>
      <c r="F98" s="231"/>
      <c r="G98" s="231"/>
      <c r="H98" s="74"/>
      <c r="I98" s="74"/>
      <c r="J98" s="74"/>
    </row>
    <row r="99" spans="2:10" ht="15">
      <c r="B99" s="232" t="s">
        <v>354</v>
      </c>
      <c r="C99" s="232"/>
      <c r="D99" s="232"/>
      <c r="E99" s="232"/>
      <c r="F99" s="232"/>
      <c r="G99" s="232"/>
      <c r="H99" s="75"/>
      <c r="I99" s="75"/>
      <c r="J99" s="75"/>
    </row>
    <row r="100" spans="2:10" ht="15">
      <c r="B100" s="10"/>
      <c r="C100" s="10"/>
      <c r="D100" s="10"/>
      <c r="E100" s="10"/>
      <c r="F100" s="10"/>
      <c r="G100" s="10"/>
      <c r="H100" s="10"/>
      <c r="I100" s="10"/>
      <c r="J100" s="10"/>
    </row>
    <row r="103" spans="5:6" ht="15">
      <c r="E103" s="7"/>
      <c r="F103" s="7"/>
    </row>
    <row r="104" spans="5:6" ht="15">
      <c r="E104" s="7"/>
      <c r="F104" s="7"/>
    </row>
    <row r="105" spans="5:6" ht="15">
      <c r="E105" s="7"/>
      <c r="F105" s="7"/>
    </row>
    <row r="106" spans="5:6" ht="15">
      <c r="E106" s="7"/>
      <c r="F106" s="7"/>
    </row>
    <row r="108" ht="15">
      <c r="E108" s="7"/>
    </row>
  </sheetData>
  <mergeCells count="12">
    <mergeCell ref="B98:G98"/>
    <mergeCell ref="B99:G99"/>
    <mergeCell ref="B38:J38"/>
    <mergeCell ref="B48:J48"/>
    <mergeCell ref="B49:J49"/>
    <mergeCell ref="B81:G81"/>
    <mergeCell ref="B82:G82"/>
    <mergeCell ref="B2:J2"/>
    <mergeCell ref="B3:J3"/>
    <mergeCell ref="B17:J17"/>
    <mergeCell ref="B18:J18"/>
    <mergeCell ref="B37:J37"/>
  </mergeCells>
  <printOptions/>
  <pageMargins left="0.708661417322835" right="0.708661417322835" top="0.889583333333333" bottom="0.748031496062992" header="0.31496062992126" footer="0.31496062992126"/>
  <pageSetup horizontalDpi="360" verticalDpi="360" orientation="landscape" scale="70" r:id="rId2"/>
  <headerFooter>
    <oddHeader>&amp;C&amp;G</oddHeader>
    <oddFooter>&amp;L&amp;10Presidente  
Cel.: 0939740779 
Secretaria  
Cel. 0967981750   &amp;R&amp;10Juntaparroquialcu@hotmail.com
Dir.: Humberto Esquivel y Víctor Pulla
Telf.: 072530075
Cutchil – Sígsig - Azuay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4"/>
  <sheetViews>
    <sheetView tabSelected="1" view="pageLayout" zoomScale="73" zoomScalePageLayoutView="73" workbookViewId="0" topLeftCell="I1">
      <selection activeCell="V2" sqref="V2"/>
    </sheetView>
  </sheetViews>
  <sheetFormatPr defaultColWidth="11.00390625" defaultRowHeight="15"/>
  <cols>
    <col min="1" max="1" width="10.8515625" style="0" customWidth="1"/>
    <col min="2" max="2" width="19.7109375" style="0" customWidth="1"/>
    <col min="3" max="3" width="4.7109375" style="0" customWidth="1"/>
    <col min="4" max="4" width="23.8515625" style="0" customWidth="1"/>
    <col min="5" max="5" width="8.28125" style="0" customWidth="1"/>
    <col min="6" max="6" width="18.57421875" style="0" customWidth="1"/>
    <col min="7" max="7" width="11.00390625" style="0" hidden="1" customWidth="1"/>
    <col min="8" max="8" width="10.421875" style="0" hidden="1" customWidth="1"/>
    <col min="9" max="9" width="15.00390625" style="0" customWidth="1"/>
    <col min="13" max="13" width="10.28125" style="0" customWidth="1"/>
    <col min="18" max="18" width="16.8515625" style="0" customWidth="1"/>
    <col min="19" max="19" width="18.140625" style="0" customWidth="1"/>
    <col min="20" max="20" width="21.28125" style="0" customWidth="1"/>
    <col min="21" max="21" width="22.57421875" style="0" customWidth="1"/>
    <col min="22" max="22" width="23.28125" style="0" customWidth="1"/>
  </cols>
  <sheetData>
    <row r="1" spans="1:22" ht="15" customHeight="1">
      <c r="A1" s="240" t="s">
        <v>478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57"/>
      <c r="T1" s="57"/>
      <c r="U1" s="57"/>
      <c r="V1" s="57"/>
    </row>
    <row r="2" spans="1:22" ht="1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11"/>
      <c r="T2" s="211"/>
      <c r="U2" s="211"/>
      <c r="V2" s="211"/>
    </row>
    <row r="3" spans="1:22" ht="15">
      <c r="A3" s="237" t="s">
        <v>355</v>
      </c>
      <c r="B3" s="237" t="s">
        <v>356</v>
      </c>
      <c r="C3" s="237" t="s">
        <v>357</v>
      </c>
      <c r="D3" s="237" t="s">
        <v>358</v>
      </c>
      <c r="E3" s="237" t="s">
        <v>359</v>
      </c>
      <c r="F3" s="237" t="s">
        <v>360</v>
      </c>
      <c r="G3" s="237" t="s">
        <v>361</v>
      </c>
      <c r="H3" s="237" t="s">
        <v>362</v>
      </c>
      <c r="I3" s="237" t="s">
        <v>363</v>
      </c>
      <c r="J3" s="246" t="s">
        <v>364</v>
      </c>
      <c r="K3" s="247"/>
      <c r="L3" s="247"/>
      <c r="M3" s="247"/>
      <c r="N3" s="247"/>
      <c r="O3" s="247"/>
      <c r="P3" s="247"/>
      <c r="Q3" s="248"/>
      <c r="R3" s="237" t="s">
        <v>6</v>
      </c>
      <c r="S3" s="237" t="s">
        <v>5</v>
      </c>
      <c r="T3" s="249" t="s">
        <v>365</v>
      </c>
      <c r="U3" s="219" t="s">
        <v>36</v>
      </c>
      <c r="V3" s="219" t="s">
        <v>6</v>
      </c>
    </row>
    <row r="4" spans="1:22" ht="15">
      <c r="A4" s="238"/>
      <c r="B4" s="238"/>
      <c r="C4" s="238"/>
      <c r="D4" s="238"/>
      <c r="E4" s="238"/>
      <c r="F4" s="238"/>
      <c r="G4" s="238"/>
      <c r="H4" s="238"/>
      <c r="I4" s="238"/>
      <c r="J4" s="246" t="s">
        <v>366</v>
      </c>
      <c r="K4" s="248"/>
      <c r="L4" s="246" t="s">
        <v>367</v>
      </c>
      <c r="M4" s="248"/>
      <c r="N4" s="246" t="s">
        <v>368</v>
      </c>
      <c r="O4" s="248"/>
      <c r="P4" s="246" t="s">
        <v>369</v>
      </c>
      <c r="Q4" s="248"/>
      <c r="R4" s="238"/>
      <c r="S4" s="238"/>
      <c r="T4" s="250"/>
      <c r="U4" s="219"/>
      <c r="V4" s="219"/>
    </row>
    <row r="5" spans="1:22" ht="40.5">
      <c r="A5" s="239"/>
      <c r="B5" s="239"/>
      <c r="C5" s="239"/>
      <c r="D5" s="239"/>
      <c r="E5" s="239"/>
      <c r="F5" s="239"/>
      <c r="G5" s="239"/>
      <c r="H5" s="239"/>
      <c r="I5" s="239"/>
      <c r="J5" s="60"/>
      <c r="K5" s="59" t="s">
        <v>370</v>
      </c>
      <c r="L5" s="60" t="s">
        <v>371</v>
      </c>
      <c r="M5" s="59" t="s">
        <v>372</v>
      </c>
      <c r="N5" s="59" t="s">
        <v>373</v>
      </c>
      <c r="O5" s="59" t="s">
        <v>372</v>
      </c>
      <c r="P5" s="60" t="s">
        <v>371</v>
      </c>
      <c r="Q5" s="59" t="s">
        <v>372</v>
      </c>
      <c r="R5" s="239"/>
      <c r="S5" s="239"/>
      <c r="T5" s="251"/>
      <c r="U5" s="219"/>
      <c r="V5" s="219"/>
    </row>
    <row r="6" spans="1:22" ht="15">
      <c r="A6" s="279" t="s">
        <v>374</v>
      </c>
      <c r="B6" s="264" t="s">
        <v>375</v>
      </c>
      <c r="C6" s="272" t="s">
        <v>254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87"/>
      <c r="S6" s="87"/>
      <c r="T6" s="88"/>
      <c r="U6" s="89"/>
      <c r="V6" s="89"/>
    </row>
    <row r="7" spans="1:22" ht="15">
      <c r="A7" s="280"/>
      <c r="B7" s="265"/>
      <c r="C7" s="242">
        <v>1</v>
      </c>
      <c r="D7" s="59" t="s">
        <v>376</v>
      </c>
      <c r="E7" s="244" t="s">
        <v>377</v>
      </c>
      <c r="F7" s="60"/>
      <c r="G7" s="60"/>
      <c r="H7" s="60"/>
      <c r="I7" s="60"/>
      <c r="J7" s="60"/>
      <c r="K7" s="60"/>
      <c r="L7" s="76">
        <v>0.5</v>
      </c>
      <c r="M7" s="64">
        <f>+'proyectos 2022'!D114/2</f>
        <v>0.005</v>
      </c>
      <c r="N7" s="76">
        <v>0.5</v>
      </c>
      <c r="O7" s="64">
        <f>+'proyectos 2022'!D114/2</f>
        <v>0.005</v>
      </c>
      <c r="P7" s="60"/>
      <c r="Q7" s="60"/>
      <c r="R7" s="206">
        <f>+K7+M7+O7+Q7</f>
        <v>0.01</v>
      </c>
      <c r="S7" s="60"/>
      <c r="T7" s="90">
        <f>+K7+M7+O7+Q7</f>
        <v>0.01</v>
      </c>
      <c r="U7" s="89"/>
      <c r="V7" s="89"/>
    </row>
    <row r="8" spans="1:22" ht="366.75" customHeight="1">
      <c r="A8" s="280"/>
      <c r="B8" s="265"/>
      <c r="C8" s="243"/>
      <c r="D8" s="59" t="s">
        <v>378</v>
      </c>
      <c r="E8" s="245"/>
      <c r="F8" s="59" t="s">
        <v>379</v>
      </c>
      <c r="G8" s="59" t="s">
        <v>380</v>
      </c>
      <c r="H8" s="60"/>
      <c r="I8" s="77" t="s">
        <v>381</v>
      </c>
      <c r="J8" s="78">
        <v>0.25</v>
      </c>
      <c r="K8" s="79">
        <f>+'proyectos 2022'!D126/4</f>
        <v>19318.399999999994</v>
      </c>
      <c r="L8" s="78">
        <v>0.25</v>
      </c>
      <c r="M8" s="79">
        <f>+K8</f>
        <v>19318.399999999994</v>
      </c>
      <c r="N8" s="78">
        <v>0.25</v>
      </c>
      <c r="O8" s="79">
        <f>+M8</f>
        <v>19318.399999999994</v>
      </c>
      <c r="P8" s="78">
        <v>0.25</v>
      </c>
      <c r="Q8" s="79">
        <f>+O8</f>
        <v>19318.399999999994</v>
      </c>
      <c r="R8" s="79">
        <f>+K8+M8+O8+Q8</f>
        <v>77273.59999999998</v>
      </c>
      <c r="S8" s="79">
        <f>+'proyectos 2022'!F126</f>
        <v>19546.030000000006</v>
      </c>
      <c r="T8" s="90">
        <f>+R8+S8</f>
        <v>96819.62999999998</v>
      </c>
      <c r="U8" s="91">
        <f>+'proyectos 2022'!L126</f>
        <v>59130.61</v>
      </c>
      <c r="V8" s="91">
        <f>+T8-U8</f>
        <v>37689.019999999975</v>
      </c>
    </row>
    <row r="9" spans="1:22" ht="22.5" customHeight="1">
      <c r="A9" s="280"/>
      <c r="B9" s="266"/>
      <c r="C9" s="252" t="s">
        <v>382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53"/>
      <c r="R9" s="207">
        <f>+R7+R8</f>
        <v>77273.60999999997</v>
      </c>
      <c r="S9" s="207">
        <f>+S7+S8</f>
        <v>19546.030000000006</v>
      </c>
      <c r="T9" s="92">
        <f>SUM(T7:T8)</f>
        <v>96819.63999999997</v>
      </c>
      <c r="U9" s="93">
        <f aca="true" t="shared" si="0" ref="U9:V9">SUM(U7:U8)</f>
        <v>59130.61</v>
      </c>
      <c r="V9" s="93">
        <f t="shared" si="0"/>
        <v>37689.019999999975</v>
      </c>
    </row>
    <row r="10" spans="1:22" ht="15">
      <c r="A10" s="280"/>
      <c r="B10" s="264" t="s">
        <v>375</v>
      </c>
      <c r="C10" s="254" t="s">
        <v>277</v>
      </c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6"/>
      <c r="R10" s="94"/>
      <c r="S10" s="94"/>
      <c r="T10" s="88"/>
      <c r="U10" s="89"/>
      <c r="V10" s="89"/>
    </row>
    <row r="11" spans="1:22" ht="291.75" customHeight="1">
      <c r="A11" s="280"/>
      <c r="B11" s="265"/>
      <c r="C11" s="64">
        <v>2</v>
      </c>
      <c r="D11" s="59" t="s">
        <v>383</v>
      </c>
      <c r="E11" s="65" t="s">
        <v>384</v>
      </c>
      <c r="F11" s="59" t="s">
        <v>385</v>
      </c>
      <c r="G11" s="60"/>
      <c r="H11" s="60"/>
      <c r="I11" s="60"/>
      <c r="J11" s="76">
        <v>0.25</v>
      </c>
      <c r="K11" s="80">
        <f>+'proyectos 2022'!D167/4</f>
        <v>8760.1551</v>
      </c>
      <c r="L11" s="76">
        <v>0.25</v>
      </c>
      <c r="M11" s="80">
        <f>+K11</f>
        <v>8760.1551</v>
      </c>
      <c r="N11" s="76">
        <v>0.25</v>
      </c>
      <c r="O11" s="80">
        <f>+M11</f>
        <v>8760.1551</v>
      </c>
      <c r="P11" s="76">
        <v>0.25</v>
      </c>
      <c r="Q11" s="80">
        <f>+O11</f>
        <v>8760.1551</v>
      </c>
      <c r="R11" s="80">
        <f>+K11+M11+O11+Q11</f>
        <v>35040.6204</v>
      </c>
      <c r="S11" s="80">
        <f>+'proyectos 2022'!F167</f>
        <v>3694</v>
      </c>
      <c r="T11" s="90">
        <f>+R11+S11</f>
        <v>38734.6204</v>
      </c>
      <c r="U11" s="91">
        <f>+'proyectos 2022'!L167</f>
        <v>32571.27</v>
      </c>
      <c r="V11" s="91">
        <f>+T11-U11</f>
        <v>6163.350399999999</v>
      </c>
    </row>
    <row r="12" spans="1:22" ht="25.5" customHeight="1">
      <c r="A12" s="280"/>
      <c r="B12" s="266"/>
      <c r="C12" s="252" t="s">
        <v>382</v>
      </c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53"/>
      <c r="R12" s="207">
        <f>+R11</f>
        <v>35040.6204</v>
      </c>
      <c r="S12" s="207">
        <f>+S11</f>
        <v>3694</v>
      </c>
      <c r="T12" s="92">
        <f>+T11</f>
        <v>38734.6204</v>
      </c>
      <c r="U12" s="93">
        <f aca="true" t="shared" si="1" ref="U12:V12">+U11</f>
        <v>32571.27</v>
      </c>
      <c r="V12" s="93">
        <f t="shared" si="1"/>
        <v>6163.350399999999</v>
      </c>
    </row>
    <row r="13" spans="1:22" ht="15">
      <c r="A13" s="280"/>
      <c r="B13" s="60"/>
      <c r="C13" s="254" t="s">
        <v>210</v>
      </c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6"/>
      <c r="R13" s="63"/>
      <c r="S13" s="63"/>
      <c r="T13" s="88"/>
      <c r="U13" s="89"/>
      <c r="V13" s="89"/>
    </row>
    <row r="14" spans="1:22" ht="15">
      <c r="A14" s="280"/>
      <c r="B14" s="60"/>
      <c r="C14" s="60"/>
      <c r="D14" s="59" t="s">
        <v>386</v>
      </c>
      <c r="E14" s="60"/>
      <c r="F14" s="60"/>
      <c r="G14" s="60"/>
      <c r="H14" s="60"/>
      <c r="I14" s="60"/>
      <c r="J14" s="76">
        <v>0.25</v>
      </c>
      <c r="K14" s="64">
        <f>+'proyectos 2022'!D47/4</f>
        <v>2865.352</v>
      </c>
      <c r="L14" s="76">
        <v>0.25</v>
      </c>
      <c r="M14" s="64">
        <f>+K14</f>
        <v>2865.352</v>
      </c>
      <c r="N14" s="76">
        <v>0.25</v>
      </c>
      <c r="O14" s="64">
        <f>+M14</f>
        <v>2865.352</v>
      </c>
      <c r="P14" s="76">
        <v>0.25</v>
      </c>
      <c r="Q14" s="64">
        <f>+O14</f>
        <v>2865.352</v>
      </c>
      <c r="R14" s="64">
        <f>+K14+M14+O14+Q14</f>
        <v>11461.408</v>
      </c>
      <c r="S14" s="64">
        <v>0</v>
      </c>
      <c r="T14" s="90">
        <f>+R14+Q14</f>
        <v>14326.759999999998</v>
      </c>
      <c r="U14" s="95">
        <f>+'proyectos 2022'!L47</f>
        <v>10666.74</v>
      </c>
      <c r="V14" s="95">
        <f>+T14-U14</f>
        <v>3660.0199999999986</v>
      </c>
    </row>
    <row r="15" spans="1:22" ht="166.5" customHeight="1">
      <c r="A15" s="280"/>
      <c r="B15" s="264" t="s">
        <v>387</v>
      </c>
      <c r="C15" s="64">
        <v>3</v>
      </c>
      <c r="D15" s="59" t="s">
        <v>383</v>
      </c>
      <c r="E15" s="65" t="s">
        <v>384</v>
      </c>
      <c r="F15" s="59" t="s">
        <v>388</v>
      </c>
      <c r="G15" s="59" t="s">
        <v>380</v>
      </c>
      <c r="H15" s="60"/>
      <c r="I15" s="59" t="s">
        <v>381</v>
      </c>
      <c r="J15" s="76">
        <v>0.25</v>
      </c>
      <c r="K15" s="81">
        <f>+('proyectos 2022'!D60-'proyectos 2022'!D47)/4</f>
        <v>3000.0274999999956</v>
      </c>
      <c r="L15" s="76">
        <v>0.25</v>
      </c>
      <c r="M15" s="81">
        <f>+K15</f>
        <v>3000.0274999999956</v>
      </c>
      <c r="N15" s="76">
        <v>0.25</v>
      </c>
      <c r="O15" s="81">
        <f>+M15</f>
        <v>3000.0274999999956</v>
      </c>
      <c r="P15" s="76">
        <v>0.25</v>
      </c>
      <c r="Q15" s="81">
        <f>+O15</f>
        <v>3000.0274999999956</v>
      </c>
      <c r="R15" s="81">
        <f>+K15+M15+O15+Q15</f>
        <v>12000.109999999982</v>
      </c>
      <c r="S15" s="81">
        <f>+'proyectos 2022'!F60</f>
        <v>13073.02</v>
      </c>
      <c r="T15" s="90">
        <f>+R15+Q15+S15</f>
        <v>28073.15749999998</v>
      </c>
      <c r="U15" s="91">
        <f>+'proyectos 2022'!L60-'proyectos 2022'!L47</f>
        <v>22809.46</v>
      </c>
      <c r="V15" s="91">
        <f>+T15-U15</f>
        <v>5263.69749999998</v>
      </c>
    </row>
    <row r="16" spans="1:22" ht="15">
      <c r="A16" s="281"/>
      <c r="B16" s="266"/>
      <c r="C16" s="252" t="s">
        <v>382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53"/>
      <c r="R16" s="208">
        <f>+R14+R15</f>
        <v>23461.517999999982</v>
      </c>
      <c r="S16" s="208">
        <f>+S14+S15</f>
        <v>13073.02</v>
      </c>
      <c r="T16" s="96">
        <f>+T14+T15</f>
        <v>42399.91749999998</v>
      </c>
      <c r="U16" s="97">
        <f aca="true" t="shared" si="2" ref="U16:V16">+U14+U15</f>
        <v>33476.2</v>
      </c>
      <c r="V16" s="97">
        <f t="shared" si="2"/>
        <v>8923.717499999979</v>
      </c>
    </row>
    <row r="17" spans="1:22" ht="15">
      <c r="A17" s="279" t="s">
        <v>389</v>
      </c>
      <c r="B17" s="264" t="s">
        <v>390</v>
      </c>
      <c r="C17" s="254" t="s">
        <v>240</v>
      </c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6"/>
      <c r="R17" s="94"/>
      <c r="S17" s="94"/>
      <c r="T17" s="88"/>
      <c r="U17" s="89"/>
      <c r="V17" s="89"/>
    </row>
    <row r="18" spans="1:22" ht="101.25" customHeight="1">
      <c r="A18" s="280"/>
      <c r="B18" s="265"/>
      <c r="C18" s="64">
        <v>4</v>
      </c>
      <c r="D18" s="59" t="s">
        <v>383</v>
      </c>
      <c r="E18" s="65" t="s">
        <v>384</v>
      </c>
      <c r="F18" s="59" t="s">
        <v>391</v>
      </c>
      <c r="G18" s="60"/>
      <c r="H18" s="60"/>
      <c r="I18" s="59" t="s">
        <v>381</v>
      </c>
      <c r="J18" s="76">
        <v>0.25</v>
      </c>
      <c r="K18" s="80">
        <f>+'proyectos 2022'!D74/4</f>
        <v>225</v>
      </c>
      <c r="L18" s="76">
        <v>0.25</v>
      </c>
      <c r="M18" s="80">
        <f>+K18</f>
        <v>225</v>
      </c>
      <c r="N18" s="76">
        <v>0.25</v>
      </c>
      <c r="O18" s="80">
        <f>+M18</f>
        <v>225</v>
      </c>
      <c r="P18" s="76">
        <v>0.25</v>
      </c>
      <c r="Q18" s="80">
        <f>+O18</f>
        <v>225</v>
      </c>
      <c r="R18" s="80">
        <f>+K18+M18+O18+Q18</f>
        <v>900</v>
      </c>
      <c r="S18" s="80">
        <f>+'proyectos 2022'!F74</f>
        <v>-399</v>
      </c>
      <c r="T18" s="90">
        <f>+R18+S18</f>
        <v>501</v>
      </c>
      <c r="U18" s="91">
        <f>+'proyectos 2022'!L74</f>
        <v>321.46999999999997</v>
      </c>
      <c r="V18" s="91">
        <f>+T18-U18</f>
        <v>179.53000000000003</v>
      </c>
    </row>
    <row r="19" spans="1:22" ht="15">
      <c r="A19" s="280"/>
      <c r="B19" s="266"/>
      <c r="C19" s="252" t="s">
        <v>382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53"/>
      <c r="R19" s="207">
        <f>+R18</f>
        <v>900</v>
      </c>
      <c r="S19" s="207">
        <f>+S18</f>
        <v>-399</v>
      </c>
      <c r="T19" s="96">
        <f>+T18</f>
        <v>501</v>
      </c>
      <c r="U19" s="97">
        <f aca="true" t="shared" si="3" ref="U19:V19">+U18</f>
        <v>321.46999999999997</v>
      </c>
      <c r="V19" s="97">
        <f t="shared" si="3"/>
        <v>179.53000000000003</v>
      </c>
    </row>
    <row r="20" spans="1:22" ht="15">
      <c r="A20" s="280"/>
      <c r="B20" s="264" t="s">
        <v>392</v>
      </c>
      <c r="C20" s="254" t="s">
        <v>393</v>
      </c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6"/>
      <c r="R20" s="94"/>
      <c r="S20" s="94"/>
      <c r="T20" s="88"/>
      <c r="U20" s="89"/>
      <c r="V20" s="89"/>
    </row>
    <row r="21" spans="1:22" ht="102.75" customHeight="1">
      <c r="A21" s="280"/>
      <c r="B21" s="265"/>
      <c r="C21" s="66">
        <v>5</v>
      </c>
      <c r="D21" s="67" t="s">
        <v>383</v>
      </c>
      <c r="E21" s="65" t="s">
        <v>384</v>
      </c>
      <c r="F21" s="59" t="s">
        <v>391</v>
      </c>
      <c r="G21" s="60"/>
      <c r="H21" s="60"/>
      <c r="I21" s="58" t="s">
        <v>381</v>
      </c>
      <c r="J21" s="76">
        <v>0.25</v>
      </c>
      <c r="K21" s="80">
        <f>+'proyectos 2022'!D99/4</f>
        <v>1908.9950000000001</v>
      </c>
      <c r="L21" s="76">
        <v>0.25</v>
      </c>
      <c r="M21" s="80">
        <f>+K21</f>
        <v>1908.9950000000001</v>
      </c>
      <c r="N21" s="76">
        <v>0.25</v>
      </c>
      <c r="O21" s="80">
        <f>+M21</f>
        <v>1908.9950000000001</v>
      </c>
      <c r="P21" s="76">
        <v>0.25</v>
      </c>
      <c r="Q21" s="80">
        <f>+O21</f>
        <v>1908.9950000000001</v>
      </c>
      <c r="R21" s="80">
        <f>+K21+M21+O21+Q21</f>
        <v>7635.9800000000005</v>
      </c>
      <c r="S21" s="80">
        <f>+'proyectos 2022'!F99</f>
        <v>5177.77</v>
      </c>
      <c r="T21" s="90">
        <f>+R21+S21</f>
        <v>12813.75</v>
      </c>
      <c r="U21" s="91">
        <f>+'proyectos 2022'!L99</f>
        <v>5468.49</v>
      </c>
      <c r="V21" s="91">
        <f>+T21-U21</f>
        <v>7345.26</v>
      </c>
    </row>
    <row r="22" spans="1:22" ht="16.5" customHeight="1">
      <c r="A22" s="280"/>
      <c r="B22" s="68"/>
      <c r="C22" s="252" t="s">
        <v>382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53"/>
      <c r="R22" s="207">
        <f>+R21</f>
        <v>7635.9800000000005</v>
      </c>
      <c r="S22" s="207">
        <f>+S21</f>
        <v>5177.77</v>
      </c>
      <c r="T22" s="96">
        <f>+T21</f>
        <v>12813.75</v>
      </c>
      <c r="U22" s="97">
        <f aca="true" t="shared" si="4" ref="U22:V22">+U21</f>
        <v>5468.49</v>
      </c>
      <c r="V22" s="98">
        <f t="shared" si="4"/>
        <v>7345.26</v>
      </c>
    </row>
    <row r="23" spans="1:22" ht="15">
      <c r="A23" s="280"/>
      <c r="B23" s="264" t="s">
        <v>394</v>
      </c>
      <c r="C23" s="254" t="s">
        <v>297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6"/>
      <c r="R23" s="94"/>
      <c r="S23" s="94"/>
      <c r="T23" s="88"/>
      <c r="U23" s="89"/>
      <c r="V23" s="89"/>
    </row>
    <row r="24" spans="1:22" ht="133.5" customHeight="1">
      <c r="A24" s="280"/>
      <c r="B24" s="265"/>
      <c r="C24" s="61"/>
      <c r="D24" s="59" t="s">
        <v>395</v>
      </c>
      <c r="E24" s="65" t="s">
        <v>384</v>
      </c>
      <c r="F24" s="59" t="s">
        <v>396</v>
      </c>
      <c r="G24" s="60"/>
      <c r="H24" s="60"/>
      <c r="I24" s="62"/>
      <c r="J24" s="78">
        <v>0.25</v>
      </c>
      <c r="K24" s="80">
        <f>SUM('proyectos 2022'!D196:D212)/4</f>
        <v>25247.4385</v>
      </c>
      <c r="L24" s="76">
        <v>0.25</v>
      </c>
      <c r="M24" s="80">
        <f>+K24</f>
        <v>25247.4385</v>
      </c>
      <c r="N24" s="76">
        <v>0.25</v>
      </c>
      <c r="O24" s="80">
        <f>+K24</f>
        <v>25247.4385</v>
      </c>
      <c r="P24" s="76">
        <v>0.25</v>
      </c>
      <c r="Q24" s="80">
        <f>+O24</f>
        <v>25247.4385</v>
      </c>
      <c r="R24" s="80">
        <f>+K24+M24+O24+Q24</f>
        <v>100989.754</v>
      </c>
      <c r="S24" s="80">
        <f>+'proyectos 2022'!F215</f>
        <v>75943.16</v>
      </c>
      <c r="T24" s="90">
        <f>+R24+S24</f>
        <v>176932.914</v>
      </c>
      <c r="U24" s="91">
        <f>+'proyectos 2022'!L215</f>
        <v>178754.19000000003</v>
      </c>
      <c r="V24" s="91">
        <f>+T24-U24</f>
        <v>-1821.2760000000417</v>
      </c>
    </row>
    <row r="25" spans="1:22" ht="15">
      <c r="A25" s="280"/>
      <c r="B25" s="266"/>
      <c r="C25" s="257" t="s">
        <v>382</v>
      </c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9"/>
      <c r="R25" s="209">
        <f>+R24</f>
        <v>100989.754</v>
      </c>
      <c r="S25" s="209">
        <f>+S24</f>
        <v>75943.16</v>
      </c>
      <c r="T25" s="99">
        <f>SUM(T24:T24)</f>
        <v>176932.914</v>
      </c>
      <c r="U25" s="100">
        <f aca="true" t="shared" si="5" ref="U25:V25">SUM(U24:U24)</f>
        <v>178754.19000000003</v>
      </c>
      <c r="V25" s="100">
        <f t="shared" si="5"/>
        <v>-1821.2760000000417</v>
      </c>
    </row>
    <row r="26" spans="1:22" ht="15">
      <c r="A26" s="280"/>
      <c r="B26" s="264" t="s">
        <v>390</v>
      </c>
      <c r="C26" s="260" t="str">
        <f>+'proyectos 2022'!B176</f>
        <v>FORTALECIMIENTO INSTITUCIONAL Y MINA DE LASTRE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61"/>
      <c r="R26" s="101"/>
      <c r="S26" s="101"/>
      <c r="T26" s="102"/>
      <c r="U26" s="89"/>
      <c r="V26" s="89"/>
    </row>
    <row r="27" spans="1:22" ht="162.75" customHeight="1">
      <c r="A27" s="280"/>
      <c r="B27" s="265"/>
      <c r="C27" s="64">
        <v>7</v>
      </c>
      <c r="D27" s="59" t="s">
        <v>397</v>
      </c>
      <c r="E27" s="65" t="s">
        <v>384</v>
      </c>
      <c r="F27" s="60" t="s">
        <v>398</v>
      </c>
      <c r="G27" s="60"/>
      <c r="H27" s="60"/>
      <c r="I27" s="59" t="s">
        <v>381</v>
      </c>
      <c r="J27" s="76">
        <v>0.25</v>
      </c>
      <c r="K27" s="80">
        <f>+'proyectos 2022'!D182/4</f>
        <v>4987.6840999999995</v>
      </c>
      <c r="L27" s="76">
        <v>0.25</v>
      </c>
      <c r="M27" s="80">
        <f>+K27</f>
        <v>4987.6840999999995</v>
      </c>
      <c r="N27" s="76">
        <v>0.25</v>
      </c>
      <c r="O27" s="80">
        <f>+M27</f>
        <v>4987.6840999999995</v>
      </c>
      <c r="P27" s="76">
        <v>0.25</v>
      </c>
      <c r="Q27" s="80">
        <f>+O27</f>
        <v>4987.6840999999995</v>
      </c>
      <c r="R27" s="80">
        <f>+K27+M27+O27+Q27</f>
        <v>19950.736399999998</v>
      </c>
      <c r="S27" s="80">
        <f>+'proyectos 2022'!F182</f>
        <v>-4250.65</v>
      </c>
      <c r="T27" s="90">
        <f>R27+S27</f>
        <v>15700.086399999998</v>
      </c>
      <c r="U27" s="91">
        <f>+'proyectos 2022'!L182</f>
        <v>10704.909999999998</v>
      </c>
      <c r="V27" s="91">
        <f>+T27-U27</f>
        <v>4995.1764</v>
      </c>
    </row>
    <row r="28" spans="1:22" ht="15">
      <c r="A28" s="281"/>
      <c r="B28" s="266"/>
      <c r="C28" s="252" t="s">
        <v>382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53"/>
      <c r="R28" s="207">
        <f>+R27</f>
        <v>19950.736399999998</v>
      </c>
      <c r="S28" s="207">
        <f>+S27</f>
        <v>-4250.65</v>
      </c>
      <c r="T28" s="96">
        <f>+T27</f>
        <v>15700.086399999998</v>
      </c>
      <c r="U28" s="97">
        <f aca="true" t="shared" si="6" ref="U28:V28">+U27</f>
        <v>10704.909999999998</v>
      </c>
      <c r="V28" s="97">
        <f t="shared" si="6"/>
        <v>4995.1764</v>
      </c>
    </row>
    <row r="29" spans="1:22" ht="15">
      <c r="A29" s="279" t="s">
        <v>399</v>
      </c>
      <c r="B29" s="267" t="s">
        <v>400</v>
      </c>
      <c r="C29" s="263" t="s">
        <v>477</v>
      </c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69"/>
      <c r="S29" s="69"/>
      <c r="T29" s="103"/>
      <c r="U29" s="89"/>
      <c r="V29" s="89"/>
    </row>
    <row r="30" spans="1:22" ht="117" customHeight="1">
      <c r="A30" s="280"/>
      <c r="B30" s="268"/>
      <c r="C30" s="70">
        <v>8</v>
      </c>
      <c r="D30" s="59" t="s">
        <v>401</v>
      </c>
      <c r="E30" s="65" t="s">
        <v>384</v>
      </c>
      <c r="F30" s="60" t="s">
        <v>402</v>
      </c>
      <c r="G30" s="60"/>
      <c r="H30" s="60"/>
      <c r="I30" s="82" t="s">
        <v>403</v>
      </c>
      <c r="J30" s="76">
        <v>0.25</v>
      </c>
      <c r="K30" s="64">
        <f>+'proyectos 2022'!D142/4</f>
        <v>4475.005</v>
      </c>
      <c r="L30" s="76">
        <v>0.25</v>
      </c>
      <c r="M30" s="64">
        <f>+K30</f>
        <v>4475.005</v>
      </c>
      <c r="N30" s="76">
        <v>0.25</v>
      </c>
      <c r="O30" s="64">
        <f>+M30</f>
        <v>4475.005</v>
      </c>
      <c r="P30" s="76">
        <f>+N30</f>
        <v>0.25</v>
      </c>
      <c r="Q30" s="64">
        <f>+O30</f>
        <v>4475.005</v>
      </c>
      <c r="R30" s="64">
        <f>+K30+M30+O30+Q30</f>
        <v>17900.02</v>
      </c>
      <c r="S30" s="64">
        <f>+'proyectos 2022'!F142</f>
        <v>-1140</v>
      </c>
      <c r="T30" s="104">
        <f>+R30+S30</f>
        <v>16760.02</v>
      </c>
      <c r="U30" s="91">
        <f>+'proyectos 2022'!L142</f>
        <v>15964.78</v>
      </c>
      <c r="V30" s="91">
        <f>+T30-U30</f>
        <v>795.2399999999998</v>
      </c>
    </row>
    <row r="31" spans="1:22" ht="15">
      <c r="A31" s="280"/>
      <c r="B31" s="268"/>
      <c r="C31" s="252" t="s">
        <v>382</v>
      </c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53"/>
      <c r="R31" s="210">
        <f>+R30</f>
        <v>17900.02</v>
      </c>
      <c r="S31" s="210">
        <f>+S30</f>
        <v>-1140</v>
      </c>
      <c r="T31" s="96"/>
      <c r="U31" s="97">
        <f aca="true" t="shared" si="7" ref="U31:V31">+U30</f>
        <v>15964.78</v>
      </c>
      <c r="V31" s="97">
        <f t="shared" si="7"/>
        <v>795.2399999999998</v>
      </c>
    </row>
    <row r="32" spans="1:22" ht="15">
      <c r="A32" s="280"/>
      <c r="B32" s="268"/>
      <c r="C32" s="270" t="s">
        <v>309</v>
      </c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71"/>
      <c r="R32" s="105"/>
      <c r="S32" s="105"/>
      <c r="T32" s="88"/>
      <c r="U32" s="89"/>
      <c r="V32" s="89"/>
    </row>
    <row r="33" spans="1:22" ht="15">
      <c r="A33" s="280"/>
      <c r="B33" s="268"/>
      <c r="C33" s="71"/>
      <c r="D33" s="72" t="s">
        <v>376</v>
      </c>
      <c r="E33" s="71"/>
      <c r="F33" s="71"/>
      <c r="G33" s="71"/>
      <c r="H33" s="71"/>
      <c r="I33" s="71"/>
      <c r="J33" s="83">
        <v>0.25</v>
      </c>
      <c r="K33" s="84">
        <f>+'proyectos 2022'!D229/4</f>
        <v>2520.0112</v>
      </c>
      <c r="L33" s="83">
        <v>0.25</v>
      </c>
      <c r="M33" s="84">
        <f>+K33</f>
        <v>2520.0112</v>
      </c>
      <c r="N33" s="83">
        <v>0.25</v>
      </c>
      <c r="O33" s="84">
        <f>+M33</f>
        <v>2520.0112</v>
      </c>
      <c r="P33" s="83">
        <v>0.25</v>
      </c>
      <c r="Q33" s="84">
        <f>+O33</f>
        <v>2520.0112</v>
      </c>
      <c r="R33" s="106">
        <f>+K33+M33+O33+Q33</f>
        <v>10080.0448</v>
      </c>
      <c r="S33" s="106"/>
      <c r="T33" s="103">
        <f>+K33+M33+O33+Q33</f>
        <v>10080.0448</v>
      </c>
      <c r="U33" s="95">
        <f>+'proyectos 2022'!L229</f>
        <v>6945.370000000001</v>
      </c>
      <c r="V33" s="95">
        <f>+T33-U33</f>
        <v>3134.674799999999</v>
      </c>
    </row>
    <row r="34" spans="1:22" ht="227.25" customHeight="1">
      <c r="A34" s="280"/>
      <c r="B34" s="268"/>
      <c r="C34" s="61">
        <v>9</v>
      </c>
      <c r="D34" s="62" t="s">
        <v>404</v>
      </c>
      <c r="E34" s="65" t="s">
        <v>384</v>
      </c>
      <c r="F34" s="62" t="s">
        <v>405</v>
      </c>
      <c r="G34" s="68"/>
      <c r="H34" s="68"/>
      <c r="I34" s="62" t="s">
        <v>381</v>
      </c>
      <c r="J34" s="85">
        <v>0.25</v>
      </c>
      <c r="K34" s="61">
        <f>+('proyectos 2022'!D236-'proyectos 2022'!D229)/4</f>
        <v>8400.02</v>
      </c>
      <c r="L34" s="85">
        <v>0.25</v>
      </c>
      <c r="M34" s="86">
        <f>+K34</f>
        <v>8400.02</v>
      </c>
      <c r="N34" s="85">
        <v>0.25</v>
      </c>
      <c r="O34" s="86">
        <f>+M34</f>
        <v>8400.02</v>
      </c>
      <c r="P34" s="85">
        <v>0.25</v>
      </c>
      <c r="Q34" s="86">
        <f>+O34</f>
        <v>8400.02</v>
      </c>
      <c r="R34" s="86">
        <f>+K34+M34+O34+Q34</f>
        <v>33600.08</v>
      </c>
      <c r="S34" s="86">
        <f>+'proyectos 2022'!F236</f>
        <v>37909.34</v>
      </c>
      <c r="T34" s="90">
        <f>+R34+S34</f>
        <v>71509.42</v>
      </c>
      <c r="U34" s="91">
        <f>+'proyectos 2022'!L236-'proyectos 2022'!L229</f>
        <v>28501.11</v>
      </c>
      <c r="V34" s="91">
        <f>+T34-U34</f>
        <v>43008.31</v>
      </c>
    </row>
    <row r="35" spans="1:22" ht="15">
      <c r="A35" s="281"/>
      <c r="B35" s="269"/>
      <c r="C35" s="252" t="s">
        <v>382</v>
      </c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53"/>
      <c r="R35" s="107">
        <f>+R33+R34</f>
        <v>43680.124800000005</v>
      </c>
      <c r="S35" s="107">
        <f aca="true" t="shared" si="8" ref="S35">+S33+S34</f>
        <v>37909.34</v>
      </c>
      <c r="T35" s="107">
        <f>+T33+T34</f>
        <v>81589.4648</v>
      </c>
      <c r="U35" s="98">
        <f aca="true" t="shared" si="9" ref="U35:V35">+U33+U34</f>
        <v>35446.48</v>
      </c>
      <c r="V35" s="98">
        <f t="shared" si="9"/>
        <v>46142.9848</v>
      </c>
    </row>
    <row r="36" spans="1:22" ht="30" customHeight="1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6"/>
      <c r="P36" s="252" t="s">
        <v>406</v>
      </c>
      <c r="Q36" s="253"/>
      <c r="R36" s="284">
        <f aca="true" t="shared" si="10" ref="R36:S36">+R9+R12+R16+R19+R22+R25+R28+R31+R35</f>
        <v>326832.3636</v>
      </c>
      <c r="S36" s="284">
        <f t="shared" si="10"/>
        <v>149553.67</v>
      </c>
      <c r="T36" s="284">
        <f>+T9+T12+T16+T19+T22+T25+T28+T31+T35</f>
        <v>465491.3930999999</v>
      </c>
      <c r="U36" s="285">
        <f aca="true" t="shared" si="11" ref="U36:V36">+U9+U12+U16+U19+U22+U25+U28+U31+U35</f>
        <v>371838.4</v>
      </c>
      <c r="V36" s="285">
        <f t="shared" si="11"/>
        <v>110413.0030999999</v>
      </c>
    </row>
    <row r="37" spans="1:22" ht="30" customHeight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8"/>
      <c r="P37" s="252" t="s">
        <v>191</v>
      </c>
      <c r="Q37" s="253"/>
      <c r="R37" s="286"/>
      <c r="S37" s="286"/>
      <c r="T37" s="284">
        <f>+T36*0</f>
        <v>0</v>
      </c>
      <c r="U37" s="287"/>
      <c r="V37" s="287"/>
    </row>
    <row r="38" spans="1:22" ht="30" customHeight="1">
      <c r="A38" s="27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8"/>
      <c r="P38" s="252" t="s">
        <v>407</v>
      </c>
      <c r="Q38" s="253"/>
      <c r="R38" s="284">
        <f aca="true" t="shared" si="12" ref="R38:S38">+R36+R37</f>
        <v>326832.3636</v>
      </c>
      <c r="S38" s="284">
        <f t="shared" si="12"/>
        <v>149553.67</v>
      </c>
      <c r="T38" s="284">
        <f>+T36+T37</f>
        <v>465491.3930999999</v>
      </c>
      <c r="U38" s="285">
        <f aca="true" t="shared" si="13" ref="U38:V38">+U36+U37</f>
        <v>371838.4</v>
      </c>
      <c r="V38" s="285">
        <f t="shared" si="13"/>
        <v>110413.0030999999</v>
      </c>
    </row>
    <row r="39" spans="1:20" ht="15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</row>
    <row r="40" spans="1:2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5">
      <c r="A44" s="73"/>
      <c r="B44" s="74"/>
      <c r="C44" s="73"/>
      <c r="D44" s="73"/>
      <c r="E44" s="73"/>
      <c r="F44" s="73"/>
      <c r="G44" s="73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</row>
    <row r="46" spans="1:20" ht="1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</row>
    <row r="47" spans="1:2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</sheetData>
  <mergeCells count="55">
    <mergeCell ref="U3:U5"/>
    <mergeCell ref="V3:V5"/>
    <mergeCell ref="A36:O38"/>
    <mergeCell ref="P38:Q38"/>
    <mergeCell ref="A3:A5"/>
    <mergeCell ref="A6:A16"/>
    <mergeCell ref="A17:A28"/>
    <mergeCell ref="A29:A35"/>
    <mergeCell ref="B3:B5"/>
    <mergeCell ref="B6:B9"/>
    <mergeCell ref="B10:B12"/>
    <mergeCell ref="B15:B16"/>
    <mergeCell ref="B17:B19"/>
    <mergeCell ref="B20:B21"/>
    <mergeCell ref="B23:B25"/>
    <mergeCell ref="B26:B28"/>
    <mergeCell ref="B29:B35"/>
    <mergeCell ref="C3:C5"/>
    <mergeCell ref="C31:Q31"/>
    <mergeCell ref="C32:Q32"/>
    <mergeCell ref="C35:Q35"/>
    <mergeCell ref="C16:Q16"/>
    <mergeCell ref="C17:Q17"/>
    <mergeCell ref="C19:Q19"/>
    <mergeCell ref="C20:Q20"/>
    <mergeCell ref="C22:Q22"/>
    <mergeCell ref="C6:Q6"/>
    <mergeCell ref="C9:Q9"/>
    <mergeCell ref="C10:Q10"/>
    <mergeCell ref="C12:Q12"/>
    <mergeCell ref="C13:Q13"/>
    <mergeCell ref="S3:S5"/>
    <mergeCell ref="T3:T5"/>
    <mergeCell ref="P36:Q36"/>
    <mergeCell ref="P37:Q37"/>
    <mergeCell ref="C23:Q23"/>
    <mergeCell ref="C25:Q25"/>
    <mergeCell ref="C26:Q26"/>
    <mergeCell ref="C28:Q28"/>
    <mergeCell ref="C29:Q29"/>
    <mergeCell ref="R3:R5"/>
    <mergeCell ref="A1:R2"/>
    <mergeCell ref="C7:C8"/>
    <mergeCell ref="E7:E8"/>
    <mergeCell ref="J3:Q3"/>
    <mergeCell ref="J4:K4"/>
    <mergeCell ref="L4:M4"/>
    <mergeCell ref="N4:O4"/>
    <mergeCell ref="P4:Q4"/>
    <mergeCell ref="D3:D5"/>
    <mergeCell ref="E3:E5"/>
    <mergeCell ref="F3:F5"/>
    <mergeCell ref="G3:G5"/>
    <mergeCell ref="H3:H5"/>
    <mergeCell ref="I3:I5"/>
  </mergeCells>
  <printOptions/>
  <pageMargins left="0.15748031496062992" right="0.11811023622047245" top="0.7480314960629921" bottom="0.7480314960629921" header="0.31496062992125984" footer="0.31496062992125984"/>
  <pageSetup horizontalDpi="360" verticalDpi="360" orientation="landscape" paperSize="9" scale="50" r:id="rId3"/>
  <headerFooter>
    <oddHeader>&amp;C&amp;G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6"/>
  <sheetViews>
    <sheetView workbookViewId="0" topLeftCell="A28">
      <selection activeCell="C13" sqref="C13"/>
    </sheetView>
  </sheetViews>
  <sheetFormatPr defaultColWidth="11.00390625" defaultRowHeight="15"/>
  <cols>
    <col min="1" max="1" width="11.421875" style="11" customWidth="1"/>
    <col min="2" max="2" width="27.8515625" style="11" customWidth="1"/>
    <col min="3" max="3" width="10.57421875" style="11" customWidth="1"/>
    <col min="4" max="4" width="12.421875" style="11" customWidth="1"/>
    <col min="5" max="5" width="44.28125" style="11" customWidth="1"/>
    <col min="6" max="6" width="28.7109375" style="11" customWidth="1"/>
  </cols>
  <sheetData>
    <row r="1" spans="1:6" s="10" customFormat="1" ht="13.5">
      <c r="A1" s="12" t="s">
        <v>408</v>
      </c>
      <c r="B1" s="12"/>
      <c r="C1" s="12"/>
      <c r="D1" s="12"/>
      <c r="E1" s="12"/>
      <c r="F1" s="12"/>
    </row>
    <row r="2" spans="1:6" s="10" customFormat="1" ht="13.5">
      <c r="A2" s="12">
        <v>1</v>
      </c>
      <c r="B2" s="12"/>
      <c r="C2" s="12" t="s">
        <v>409</v>
      </c>
      <c r="D2" s="12" t="s">
        <v>410</v>
      </c>
      <c r="E2" s="12" t="s">
        <v>411</v>
      </c>
      <c r="F2" s="12" t="s">
        <v>412</v>
      </c>
    </row>
    <row r="3" spans="1:6" s="10" customFormat="1" ht="27">
      <c r="A3" s="13" t="str">
        <f>+'PRESUPUESTO 2022'!A10</f>
        <v>36,02,01</v>
      </c>
      <c r="B3" s="13" t="str">
        <f>+'PRESUPUESTO 2022'!B10</f>
        <v>Del Sector Público Financiero</v>
      </c>
      <c r="C3" s="14">
        <v>79890</v>
      </c>
      <c r="D3" s="14"/>
      <c r="E3" s="13"/>
      <c r="F3" s="13" t="s">
        <v>413</v>
      </c>
    </row>
    <row r="4" spans="1:6" s="10" customFormat="1" ht="13.5">
      <c r="A4" s="15" t="str">
        <f>+'PRESUPUESTO 2022'!A100</f>
        <v>840105</v>
      </c>
      <c r="B4" s="13" t="str">
        <f>+'PRESUPUESTO 2022'!B100</f>
        <v xml:space="preserve">Vehiculos </v>
      </c>
      <c r="C4" s="14"/>
      <c r="D4" s="14">
        <v>79890</v>
      </c>
      <c r="E4" s="13" t="str">
        <f>+'proyectos 2022'!B192</f>
        <v>MANTENIMIENTO VIAL DE LA PARROQUIA</v>
      </c>
      <c r="F4" s="13" t="s">
        <v>414</v>
      </c>
    </row>
    <row r="5" spans="1:6" s="10" customFormat="1" ht="13.5">
      <c r="A5" s="12"/>
      <c r="B5" s="12"/>
      <c r="C5" s="16"/>
      <c r="D5" s="16"/>
      <c r="E5" s="12"/>
      <c r="F5" s="12"/>
    </row>
    <row r="6" spans="1:6" s="10" customFormat="1" ht="13.5">
      <c r="A6" s="12"/>
      <c r="B6" s="12"/>
      <c r="C6" s="16"/>
      <c r="D6" s="16"/>
      <c r="E6" s="12"/>
      <c r="F6" s="12"/>
    </row>
    <row r="7" spans="1:6" s="10" customFormat="1" ht="13.5">
      <c r="A7" s="12">
        <v>2</v>
      </c>
      <c r="B7" s="12"/>
      <c r="C7" s="16"/>
      <c r="D7" s="16"/>
      <c r="E7" s="12"/>
      <c r="F7" s="12"/>
    </row>
    <row r="8" spans="1:6" s="10" customFormat="1" ht="27">
      <c r="A8" s="17" t="str">
        <f>+'PRESUPUESTO 2022'!A47</f>
        <v>560201</v>
      </c>
      <c r="B8" s="18" t="str">
        <f>+'PRESUPUESTO 2022'!B47</f>
        <v>Sector Publico Financiero (BDE)</v>
      </c>
      <c r="C8" s="19">
        <v>2205</v>
      </c>
      <c r="D8" s="18"/>
      <c r="E8" s="18"/>
      <c r="F8" s="20" t="s">
        <v>415</v>
      </c>
    </row>
    <row r="9" spans="1:6" s="10" customFormat="1" ht="27">
      <c r="A9" s="21" t="str">
        <f>+'PRESUPUESTO 2022'!A105</f>
        <v>960201</v>
      </c>
      <c r="B9" s="22" t="str">
        <f>+'PRESUPUESTO 2022'!B105</f>
        <v xml:space="preserve">Al Sector Publico Financiero </v>
      </c>
      <c r="C9" s="23">
        <v>5300</v>
      </c>
      <c r="D9" s="22"/>
      <c r="E9" s="22" t="str">
        <f>+'proyectos 2022'!B192</f>
        <v>MANTENIMIENTO VIAL DE LA PARROQUIA</v>
      </c>
      <c r="F9" s="24" t="s">
        <v>416</v>
      </c>
    </row>
    <row r="10" spans="1:6" s="10" customFormat="1" ht="13.5">
      <c r="A10" s="25" t="str">
        <f>+'proyectos 2022'!A235</f>
        <v>840104</v>
      </c>
      <c r="B10" s="22" t="str">
        <f>+'proyectos 2022'!B235</f>
        <v xml:space="preserve">Maquinarias y Equipos </v>
      </c>
      <c r="C10" s="23"/>
      <c r="D10" s="23">
        <v>5500</v>
      </c>
      <c r="E10" s="22" t="str">
        <f>+'proyectos 2022'!B223</f>
        <v>FOMENTO A LAS ACTIVIDADES PRODUCTIVAS</v>
      </c>
      <c r="F10" s="282"/>
    </row>
    <row r="11" spans="1:6" s="10" customFormat="1" ht="27">
      <c r="A11" s="26" t="str">
        <f>+'proyectos 2022'!A205</f>
        <v>730605</v>
      </c>
      <c r="B11" s="27" t="str">
        <f>+'proyectos 2022'!B205</f>
        <v>Estudio y Diseño de Proyectos</v>
      </c>
      <c r="C11" s="28"/>
      <c r="D11" s="28">
        <v>2005</v>
      </c>
      <c r="E11" s="27" t="str">
        <f>+'proyectos 2022'!B192</f>
        <v>MANTENIMIENTO VIAL DE LA PARROQUIA</v>
      </c>
      <c r="F11" s="283"/>
    </row>
    <row r="12" spans="1:6" s="10" customFormat="1" ht="13.5">
      <c r="A12" s="12"/>
      <c r="B12" s="12"/>
      <c r="C12" s="16"/>
      <c r="D12" s="16"/>
      <c r="E12" s="12"/>
      <c r="F12" s="12"/>
    </row>
    <row r="13" spans="1:7" s="10" customFormat="1" ht="81">
      <c r="A13" s="29" t="str">
        <f>+'PRESUPUESTO 2022'!A8</f>
        <v>28.01.04</v>
      </c>
      <c r="B13" s="30" t="str">
        <f>+'PRESUPUESTO 2022'!B8</f>
        <v xml:space="preserve">De Entidades del Gobierno Autónomo Descentralizado (tasa solidaria 2022, puente) </v>
      </c>
      <c r="C13" s="31">
        <f>3633.06+7309.29+30000+2500+16730.32</f>
        <v>60172.67</v>
      </c>
      <c r="D13" s="31"/>
      <c r="E13" s="30"/>
      <c r="F13" s="32" t="s">
        <v>417</v>
      </c>
      <c r="G13" s="10">
        <f>30000+26539.61</f>
        <v>56539.61</v>
      </c>
    </row>
    <row r="14" spans="1:8" s="10" customFormat="1" ht="27">
      <c r="A14" s="33" t="str">
        <f>+'proyectos 2022'!A157</f>
        <v>730605</v>
      </c>
      <c r="B14" s="12" t="str">
        <f>+'proyectos 2022'!B157</f>
        <v>Estudio y Diseño de Proyectos</v>
      </c>
      <c r="C14" s="16"/>
      <c r="D14" s="16">
        <v>0</v>
      </c>
      <c r="E14" s="12" t="str">
        <f>+'proyectos 2022'!B150</f>
        <v>RESCATE DEL PATRIMONIO, CULTURA Y TURISMO DE LA PARROQUIA</v>
      </c>
      <c r="F14" s="34" t="s">
        <v>418</v>
      </c>
      <c r="H14" s="10">
        <v>15680</v>
      </c>
    </row>
    <row r="15" spans="1:10" s="10" customFormat="1" ht="13.5">
      <c r="A15" s="33" t="str">
        <f>+'proyectos 2022'!A235</f>
        <v>840104</v>
      </c>
      <c r="B15" s="12" t="str">
        <f>+'proyectos 2022'!B235</f>
        <v xml:space="preserve">Maquinarias y Equipos </v>
      </c>
      <c r="C15" s="16">
        <v>30000</v>
      </c>
      <c r="D15" s="16"/>
      <c r="E15" s="12" t="str">
        <f>+'proyectos 2022'!B223</f>
        <v>FOMENTO A LAS ACTIVIDADES PRODUCTIVAS</v>
      </c>
      <c r="F15" s="34" t="s">
        <v>419</v>
      </c>
      <c r="G15" s="10">
        <v>46063.92</v>
      </c>
      <c r="J15" s="10">
        <f>30000-G15</f>
        <v>-16063.919999999998</v>
      </c>
    </row>
    <row r="16" spans="1:7" s="10" customFormat="1" ht="27">
      <c r="A16" s="33" t="str">
        <f>+'proyectos 2022'!A230</f>
        <v>730613</v>
      </c>
      <c r="B16" s="12" t="str">
        <f>+'proyectos 2022'!B230</f>
        <v>Capacitacion para la ciudadania en general</v>
      </c>
      <c r="C16" s="16">
        <v>0</v>
      </c>
      <c r="D16" s="16"/>
      <c r="E16" s="12" t="str">
        <f>+'proyectos 2022'!B223</f>
        <v>FOMENTO A LAS ACTIVIDADES PRODUCTIVAS</v>
      </c>
      <c r="F16" s="34" t="s">
        <v>419</v>
      </c>
      <c r="G16" s="10">
        <v>2500</v>
      </c>
    </row>
    <row r="17" spans="1:7" s="10" customFormat="1" ht="40.5">
      <c r="A17" s="33" t="str">
        <f>+'proyectos 2022'!A226</f>
        <v>730204</v>
      </c>
      <c r="B17" s="12" t="str">
        <f>+'proyectos 2022'!B226</f>
        <v>Edición, Impresión, Reproducción y Publicaciones</v>
      </c>
      <c r="C17" s="16">
        <v>0</v>
      </c>
      <c r="D17" s="16"/>
      <c r="E17" s="12" t="str">
        <f>+'proyectos 2022'!B223</f>
        <v>FOMENTO A LAS ACTIVIDADES PRODUCTIVAS</v>
      </c>
      <c r="F17" s="34" t="s">
        <v>419</v>
      </c>
      <c r="G17" s="10">
        <v>1000</v>
      </c>
    </row>
    <row r="18" spans="1:7" s="10" customFormat="1" ht="54">
      <c r="A18" s="33" t="str">
        <f>+'proyectos 2022'!A181</f>
        <v>770206</v>
      </c>
      <c r="B18" s="12" t="str">
        <f>+'proyectos 2022'!B181</f>
        <v>Costos Judiiales; Trámitas Notariales y Legalización de Documentos</v>
      </c>
      <c r="C18" s="16">
        <v>0</v>
      </c>
      <c r="D18" s="16"/>
      <c r="E18" s="12" t="str">
        <f>+'proyectos 2022'!B176</f>
        <v>FORTALECIMIENTO INSTITUCIONAL Y MINA DE LASTRE</v>
      </c>
      <c r="F18" s="34" t="s">
        <v>419</v>
      </c>
      <c r="G18" s="10">
        <v>500</v>
      </c>
    </row>
    <row r="19" spans="1:8" s="10" customFormat="1" ht="40.5">
      <c r="A19" s="33" t="str">
        <f>+'proyectos 2022'!A158</f>
        <v>730606</v>
      </c>
      <c r="B19" s="12" t="str">
        <f>+'proyectos 2022'!B158</f>
        <v>Honorarios por contratos civiles de servicios</v>
      </c>
      <c r="C19" s="16"/>
      <c r="D19" s="16">
        <v>0</v>
      </c>
      <c r="E19" s="12" t="str">
        <f>+'proyectos 2022'!B150</f>
        <v>RESCATE DEL PATRIMONIO, CULTURA Y TURISMO DE LA PARROQUIA</v>
      </c>
      <c r="F19" s="34"/>
      <c r="H19" s="10">
        <v>4355</v>
      </c>
    </row>
    <row r="20" spans="1:6" s="10" customFormat="1" ht="13.5">
      <c r="A20" s="33"/>
      <c r="B20" s="12"/>
      <c r="C20" s="16"/>
      <c r="D20" s="16"/>
      <c r="E20" s="12"/>
      <c r="F20" s="34"/>
    </row>
    <row r="21" spans="1:7" s="10" customFormat="1" ht="40.5">
      <c r="A21" s="33" t="str">
        <f>+'proyectos 2022'!A118</f>
        <v>750105</v>
      </c>
      <c r="B21" s="12" t="str">
        <f>+'proyectos 2022'!B118</f>
        <v>Transporte y Vías</v>
      </c>
      <c r="C21" s="16">
        <v>0</v>
      </c>
      <c r="D21" s="16"/>
      <c r="E21" s="12" t="str">
        <f>+'proyectos 2022'!B107</f>
        <v>CONSTRUCCION DE DIFERENTES OBRAS Y EQUIPAMIENTO PARA LA PARROQUIA</v>
      </c>
      <c r="F21" s="34" t="s">
        <v>420</v>
      </c>
      <c r="G21" s="10">
        <v>19250.78</v>
      </c>
    </row>
    <row r="22" spans="1:7" s="10" customFormat="1" ht="67.5">
      <c r="A22" s="33" t="str">
        <f>+'proyectos 2022'!A96</f>
        <v>731515</v>
      </c>
      <c r="B22" s="12" t="str">
        <f>+'proyectos 2022'!B96</f>
        <v>Plantas</v>
      </c>
      <c r="C22" s="16">
        <v>7309.29</v>
      </c>
      <c r="D22" s="16"/>
      <c r="E22" s="12" t="str">
        <f>+'proyectos 2022'!B82</f>
        <v>MEJORAMIENTO, MANTENIMIENTO E IMAGEN DE ESPACIOS PUBLICOS</v>
      </c>
      <c r="F22" s="34" t="s">
        <v>421</v>
      </c>
      <c r="G22" s="10">
        <v>7309.29</v>
      </c>
    </row>
    <row r="23" spans="1:6" s="10" customFormat="1" ht="13.5">
      <c r="A23" s="33"/>
      <c r="B23" s="12"/>
      <c r="C23" s="16"/>
      <c r="D23" s="16"/>
      <c r="E23" s="12"/>
      <c r="F23" s="34"/>
    </row>
    <row r="24" spans="1:6" s="10" customFormat="1" ht="45.75" customHeight="1">
      <c r="A24" s="35" t="str">
        <f>+'proyectos 2022'!A156</f>
        <v>730402</v>
      </c>
      <c r="B24" s="36" t="str">
        <f>+'proyectos 2022'!B156</f>
        <v>Gasto en edificios, locales, residencias y cableado estructurado (mantenimiento)</v>
      </c>
      <c r="C24" s="37">
        <v>6779</v>
      </c>
      <c r="D24" s="37"/>
      <c r="E24" s="36" t="str">
        <f>+'proyectos 2022'!B150</f>
        <v>RESCATE DEL PATRIMONIO, CULTURA Y TURISMO DE LA PARROQUIA</v>
      </c>
      <c r="F24" s="38" t="s">
        <v>422</v>
      </c>
    </row>
    <row r="25" spans="1:6" s="10" customFormat="1" ht="45.75" customHeight="1">
      <c r="A25" s="35" t="str">
        <f>+'proyectos 2022'!A47</f>
        <v>730606</v>
      </c>
      <c r="B25" s="36" t="str">
        <f>+'proyectos 2022'!B47</f>
        <v xml:space="preserve">Honorarios por contratos civiles de Servicios </v>
      </c>
      <c r="C25" s="37"/>
      <c r="D25" s="37">
        <v>1007.98</v>
      </c>
      <c r="E25" s="36" t="str">
        <f>+'proyectos 2022'!B40</f>
        <v>ATENCION AL GRUPO PRIORITARIO DE LA PARROQUIA</v>
      </c>
      <c r="F25" s="38"/>
    </row>
    <row r="26" spans="1:6" s="10" customFormat="1" ht="45.75" customHeight="1">
      <c r="A26" s="35" t="str">
        <f>+'proyectos 2022'!A229</f>
        <v>730606</v>
      </c>
      <c r="B26" s="36" t="str">
        <f>+'proyectos 2022'!B229</f>
        <v xml:space="preserve">Honorarios por contratos civiles de Servicios </v>
      </c>
      <c r="C26" s="37"/>
      <c r="D26" s="37">
        <v>2000</v>
      </c>
      <c r="E26" s="36" t="str">
        <f>+'proyectos 2022'!B223</f>
        <v>FOMENTO A LAS ACTIVIDADES PRODUCTIVAS</v>
      </c>
      <c r="F26" s="38"/>
    </row>
    <row r="27" spans="1:6" s="10" customFormat="1" ht="45.75" customHeight="1">
      <c r="A27" s="35" t="str">
        <f>+'proyectos 2022'!A209</f>
        <v>730813</v>
      </c>
      <c r="B27" s="36" t="str">
        <f>+'proyectos 2022'!B209</f>
        <v>Respuestos y Accesorios</v>
      </c>
      <c r="C27" s="37"/>
      <c r="D27" s="37">
        <v>2000</v>
      </c>
      <c r="E27" s="36" t="str">
        <f>+'proyectos 2022'!B192</f>
        <v>MANTENIMIENTO VIAL DE LA PARROQUIA</v>
      </c>
      <c r="F27" s="38"/>
    </row>
    <row r="28" spans="1:6" s="10" customFormat="1" ht="45.75" customHeight="1">
      <c r="A28" s="35" t="str">
        <f>+'proyectos 2022'!A113</f>
        <v>730601</v>
      </c>
      <c r="B28" s="36" t="str">
        <f>+'proyectos 2022'!B113</f>
        <v>Consultoría, Asesoría e Investigación Especializada</v>
      </c>
      <c r="C28" s="37"/>
      <c r="D28" s="37">
        <v>1000</v>
      </c>
      <c r="E28" s="36" t="str">
        <f>+'proyectos 2022'!B107</f>
        <v>CONSTRUCCION DE DIFERENTES OBRAS Y EQUIPAMIENTO PARA LA PARROQUIA</v>
      </c>
      <c r="F28" s="38"/>
    </row>
    <row r="29" spans="1:7" s="10" customFormat="1" ht="45.75" customHeight="1">
      <c r="A29" s="35" t="str">
        <f>+'proyectos 2022'!A180</f>
        <v>730606</v>
      </c>
      <c r="B29" s="36" t="str">
        <f>+'proyectos 2022'!B180</f>
        <v xml:space="preserve">Honorarios por contratos civiles de Servicios </v>
      </c>
      <c r="C29" s="37"/>
      <c r="D29" s="37">
        <v>771.02</v>
      </c>
      <c r="E29" s="36" t="str">
        <f>+'proyectos 2022'!B176</f>
        <v>FORTALECIMIENTO INSTITUCIONAL Y MINA DE LASTRE</v>
      </c>
      <c r="F29" s="38">
        <v>771.02</v>
      </c>
      <c r="G29" s="10">
        <f>820.4-771.02</f>
        <v>49.379999999999995</v>
      </c>
    </row>
    <row r="30" spans="1:6" s="10" customFormat="1" ht="45.75" customHeight="1">
      <c r="A30" s="39" t="str">
        <f>+'proyectos 2022'!A46</f>
        <v>730505</v>
      </c>
      <c r="B30" s="40" t="str">
        <f>+'proyectos 2022'!B46</f>
        <v>Vehiculos</v>
      </c>
      <c r="C30" s="41">
        <v>1500</v>
      </c>
      <c r="D30" s="41"/>
      <c r="E30" s="40" t="str">
        <f>+'proyectos 2022'!B40</f>
        <v>ATENCION AL GRUPO PRIORITARIO DE LA PARROQUIA</v>
      </c>
      <c r="F30" s="42"/>
    </row>
    <row r="31" spans="1:6" s="10" customFormat="1" ht="45.75" customHeight="1">
      <c r="A31" s="39" t="str">
        <f>+'proyectos 2022'!A124</f>
        <v>840107</v>
      </c>
      <c r="B31" s="40" t="str">
        <f>+'proyectos 2022'!B124</f>
        <v>Equipos, sistemas y paquetes informaticos</v>
      </c>
      <c r="C31" s="41"/>
      <c r="D31" s="41">
        <v>1500</v>
      </c>
      <c r="E31" s="40" t="str">
        <f>+'proyectos 2022'!B107</f>
        <v>CONSTRUCCION DE DIFERENTES OBRAS Y EQUIPAMIENTO PARA LA PARROQUIA</v>
      </c>
      <c r="F31" s="42"/>
    </row>
    <row r="32" spans="1:6" s="10" customFormat="1" ht="13.5">
      <c r="A32" s="33"/>
      <c r="B32" s="12"/>
      <c r="C32" s="16"/>
      <c r="D32" s="16"/>
      <c r="E32" s="12"/>
      <c r="F32" s="34"/>
    </row>
    <row r="33" spans="1:6" s="10" customFormat="1" ht="27">
      <c r="A33" s="43" t="s">
        <v>423</v>
      </c>
      <c r="B33" s="44" t="s">
        <v>424</v>
      </c>
      <c r="C33" s="45">
        <v>1200</v>
      </c>
      <c r="D33" s="45"/>
      <c r="E33" s="44" t="str">
        <f>+'proyectos 2022'!B40</f>
        <v>ATENCION AL GRUPO PRIORITARIO DE LA PARROQUIA</v>
      </c>
      <c r="F33" s="46" t="s">
        <v>425</v>
      </c>
    </row>
    <row r="34" spans="1:6" s="10" customFormat="1" ht="27">
      <c r="A34" s="43" t="str">
        <f>+'proyectos 2022'!A97</f>
        <v>840104</v>
      </c>
      <c r="B34" s="44" t="str">
        <f>+'proyectos 2022'!B97</f>
        <v>Maquinaria y Equipos</v>
      </c>
      <c r="C34" s="45"/>
      <c r="D34" s="45">
        <v>1200</v>
      </c>
      <c r="E34" s="44" t="str">
        <f>+'proyectos 2022'!B82</f>
        <v>MEJORAMIENTO, MANTENIMIENTO E IMAGEN DE ESPACIOS PUBLICOS</v>
      </c>
      <c r="F34" s="46"/>
    </row>
    <row r="35" spans="1:6" s="10" customFormat="1" ht="13.5">
      <c r="A35" s="33"/>
      <c r="B35" s="12"/>
      <c r="C35" s="16"/>
      <c r="D35" s="16"/>
      <c r="E35" s="12"/>
      <c r="F35" s="34"/>
    </row>
    <row r="36" spans="1:6" s="10" customFormat="1" ht="27">
      <c r="A36" s="47" t="str">
        <f>+'proyectos 2022'!A205</f>
        <v>730605</v>
      </c>
      <c r="B36" s="48" t="str">
        <f>+'proyectos 2022'!B205</f>
        <v>Estudio y Diseño de Proyectos</v>
      </c>
      <c r="C36" s="49">
        <v>3633.06</v>
      </c>
      <c r="D36" s="49"/>
      <c r="E36" s="48" t="str">
        <f>+'proyectos 2022'!B192</f>
        <v>MANTENIMIENTO VIAL DE LA PARROQUIA</v>
      </c>
      <c r="F36" s="50" t="s">
        <v>426</v>
      </c>
    </row>
    <row r="37" spans="1:6" s="10" customFormat="1" ht="27">
      <c r="A37" s="51" t="str">
        <f>+'proyectos 2022'!A49</f>
        <v>730801</v>
      </c>
      <c r="B37" s="51" t="str">
        <f>+'proyectos 2022'!B49</f>
        <v xml:space="preserve">Alimentos y Bebidas </v>
      </c>
      <c r="C37" s="52">
        <v>4000</v>
      </c>
      <c r="D37" s="52"/>
      <c r="E37" s="51" t="str">
        <f>+'proyectos 2022'!B40</f>
        <v>ATENCION AL GRUPO PRIORITARIO DE LA PARROQUIA</v>
      </c>
      <c r="F37" s="51" t="s">
        <v>427</v>
      </c>
    </row>
    <row r="38" spans="1:6" s="10" customFormat="1" ht="40.5">
      <c r="A38" s="51" t="str">
        <f>+'proyectos 2022'!A47</f>
        <v>730606</v>
      </c>
      <c r="B38" s="51" t="str">
        <f>+'proyectos 2022'!B47</f>
        <v xml:space="preserve">Honorarios por contratos civiles de Servicios </v>
      </c>
      <c r="C38" s="52">
        <v>3872.01</v>
      </c>
      <c r="D38" s="52"/>
      <c r="E38" s="51" t="str">
        <f>+'proyectos 2022'!B40</f>
        <v>ATENCION AL GRUPO PRIORITARIO DE LA PARROQUIA</v>
      </c>
      <c r="F38" s="51" t="s">
        <v>428</v>
      </c>
    </row>
    <row r="39" spans="1:6" s="10" customFormat="1" ht="27">
      <c r="A39" s="51" t="str">
        <f>+'proyectos 2022'!A230</f>
        <v>730613</v>
      </c>
      <c r="B39" s="51" t="str">
        <f>+'proyectos 2022'!B230</f>
        <v>Capacitacion para la ciudadania en general</v>
      </c>
      <c r="C39" s="52">
        <v>480</v>
      </c>
      <c r="D39" s="52"/>
      <c r="E39" s="51" t="str">
        <f>+'proyectos 2022'!B223</f>
        <v>FOMENTO A LAS ACTIVIDADES PRODUCTIVAS</v>
      </c>
      <c r="F39" s="51" t="s">
        <v>429</v>
      </c>
    </row>
    <row r="40" spans="1:6" s="10" customFormat="1" ht="27">
      <c r="A40" s="199" t="str">
        <f>+'proyectos 2022'!A164</f>
        <v>840103</v>
      </c>
      <c r="B40" s="51" t="str">
        <f>+'proyectos 2022'!B164</f>
        <v xml:space="preserve">Mobiliario </v>
      </c>
      <c r="C40" s="52">
        <v>3000</v>
      </c>
      <c r="D40" s="52"/>
      <c r="E40" s="51" t="str">
        <f>+'proyectos 2022'!B150</f>
        <v>RESCATE DEL PATRIMONIO, CULTURA Y TURISMO DE LA PARROQUIA</v>
      </c>
      <c r="F40" s="51" t="s">
        <v>287</v>
      </c>
    </row>
    <row r="41" spans="1:8" s="10" customFormat="1" ht="27">
      <c r="A41" s="199" t="str">
        <f>+'proyectos 2022'!A118</f>
        <v>750105</v>
      </c>
      <c r="B41" s="51" t="str">
        <f>+'proyectos 2022'!B118</f>
        <v>Transporte y Vías</v>
      </c>
      <c r="C41" s="51">
        <f>2520.63+2901.95</f>
        <v>5422.58</v>
      </c>
      <c r="D41" s="52"/>
      <c r="E41" s="51" t="str">
        <f>+'proyectos 2022'!B107</f>
        <v>CONSTRUCCION DE DIFERENTES OBRAS Y EQUIPAMIENTO PARA LA PARROQUIA</v>
      </c>
      <c r="F41" s="51" t="s">
        <v>430</v>
      </c>
      <c r="H41" s="53"/>
    </row>
    <row r="42" spans="1:6" s="10" customFormat="1" ht="27">
      <c r="A42" s="199" t="str">
        <f>+'proyectos 2022'!A154</f>
        <v>730205</v>
      </c>
      <c r="B42" s="51" t="str">
        <f>+'proyectos 2022'!B154</f>
        <v>Espectaculos Culturales y Sociales</v>
      </c>
      <c r="C42" s="51">
        <v>5000</v>
      </c>
      <c r="D42" s="51"/>
      <c r="E42" s="51" t="str">
        <f>+'proyectos 2022'!B150</f>
        <v>RESCATE DEL PATRIMONIO, CULTURA Y TURISMO DE LA PARROQUIA</v>
      </c>
      <c r="F42" s="51" t="s">
        <v>431</v>
      </c>
    </row>
    <row r="43" spans="1:6" s="10" customFormat="1" ht="27">
      <c r="A43" s="51" t="str">
        <f>+'proyectos 2022'!A235</f>
        <v>840104</v>
      </c>
      <c r="B43" s="51" t="str">
        <f>+'proyectos 2022'!B235</f>
        <v xml:space="preserve">Maquinarias y Equipos </v>
      </c>
      <c r="C43" s="51">
        <v>16063.92</v>
      </c>
      <c r="D43" s="51"/>
      <c r="E43" s="51" t="str">
        <f>+'proyectos 2022'!B223</f>
        <v>FOMENTO A LAS ACTIVIDADES PRODUCTIVAS</v>
      </c>
      <c r="F43" s="51" t="s">
        <v>432</v>
      </c>
    </row>
    <row r="44" spans="1:11" s="10" customFormat="1" ht="13.5">
      <c r="A44" s="51" t="str">
        <f>+'proyectos 2022'!A210</f>
        <v>770201</v>
      </c>
      <c r="B44" s="51" t="str">
        <f>+'proyectos 2022'!B210</f>
        <v>Seguros</v>
      </c>
      <c r="C44" s="51">
        <v>1500</v>
      </c>
      <c r="D44" s="51"/>
      <c r="E44" s="52" t="str">
        <f>+'proyectos 2022'!B192</f>
        <v>MANTENIMIENTO VIAL DE LA PARROQUIA</v>
      </c>
      <c r="F44" s="51" t="s">
        <v>433</v>
      </c>
      <c r="I44" s="10">
        <f>40766.92-1</f>
        <v>40765.92</v>
      </c>
      <c r="J44" s="10">
        <v>60017.87</v>
      </c>
      <c r="K44" s="10" t="s">
        <v>430</v>
      </c>
    </row>
    <row r="45" spans="1:11" s="10" customFormat="1" ht="27">
      <c r="A45" s="51" t="str">
        <f>+'proyectos 2022'!A97</f>
        <v>840104</v>
      </c>
      <c r="B45" s="51" t="str">
        <f>+'proyectos 2022'!B97</f>
        <v>Maquinaria y Equipos</v>
      </c>
      <c r="C45" s="51"/>
      <c r="D45" s="54">
        <v>2381</v>
      </c>
      <c r="E45" s="51" t="str">
        <f>+'proyectos 2022'!B82</f>
        <v>MEJORAMIENTO, MANTENIMIENTO E IMAGEN DE ESPACIOS PUBLICOS</v>
      </c>
      <c r="F45" s="51"/>
      <c r="I45" s="53">
        <f>+I44-I46</f>
        <v>10756.98</v>
      </c>
      <c r="J45" s="10">
        <v>2901.95</v>
      </c>
      <c r="K45" s="10" t="s">
        <v>434</v>
      </c>
    </row>
    <row r="46" spans="1:10" s="10" customFormat="1" ht="54">
      <c r="A46" s="51" t="str">
        <f>+'proyectos 2022'!A140</f>
        <v>730811</v>
      </c>
      <c r="B46" s="51" t="str">
        <f>+'proyectos 2022'!B140</f>
        <v xml:space="preserve">Materiales de Construccion, Eléctricos, Plomerìa y Carpinterìa </v>
      </c>
      <c r="C46" s="55"/>
      <c r="D46" s="54">
        <v>3700</v>
      </c>
      <c r="E46" s="51" t="str">
        <f>+'proyectos 2022'!B135</f>
        <v>CONSTRUCCION DE SERVICIOS BASICOS</v>
      </c>
      <c r="F46" s="51"/>
      <c r="I46" s="53">
        <v>30008.94</v>
      </c>
      <c r="J46" s="10">
        <f>SUM(J44:J45)</f>
        <v>62919.82</v>
      </c>
    </row>
    <row r="47" spans="1:9" s="10" customFormat="1" ht="27">
      <c r="A47" s="51" t="str">
        <f>+'proyectos 2022'!A157</f>
        <v>730605</v>
      </c>
      <c r="B47" s="51" t="str">
        <f>+'proyectos 2022'!B157</f>
        <v>Estudio y Diseño de Proyectos</v>
      </c>
      <c r="C47" s="52"/>
      <c r="D47" s="51">
        <v>10680</v>
      </c>
      <c r="E47" s="51" t="str">
        <f>+'proyectos 2022'!B150</f>
        <v>RESCATE DEL PATRIMONIO, CULTURA Y TURISMO DE LA PARROQUIA</v>
      </c>
      <c r="F47" s="51"/>
      <c r="G47" s="56"/>
      <c r="H47" s="53"/>
      <c r="I47" s="53"/>
    </row>
    <row r="48" spans="1:9" s="10" customFormat="1" ht="27">
      <c r="A48" s="51" t="str">
        <f>+'proyectos 2022'!A205</f>
        <v>730605</v>
      </c>
      <c r="B48" s="51" t="str">
        <f>+'proyectos 2022'!B205</f>
        <v>Estudio y Diseño de Proyectos</v>
      </c>
      <c r="C48" s="51"/>
      <c r="D48" s="51">
        <v>4434</v>
      </c>
      <c r="E48" s="51" t="str">
        <f>+'proyectos 2022'!B192</f>
        <v>MANTENIMIENTO VIAL DE LA PARROQUIA</v>
      </c>
      <c r="F48" s="51"/>
      <c r="G48" s="56"/>
      <c r="H48" s="53"/>
      <c r="I48" s="53"/>
    </row>
    <row r="49" spans="1:9" s="10" customFormat="1" ht="13.5">
      <c r="A49" s="51" t="str">
        <f>+'proyectos 2022'!A196</f>
        <v>710106</v>
      </c>
      <c r="B49" s="51" t="str">
        <f>+'proyectos 2022'!B196</f>
        <v>Salarios  Unificadas</v>
      </c>
      <c r="C49" s="51"/>
      <c r="D49" s="51">
        <v>1540.19</v>
      </c>
      <c r="E49" s="51" t="str">
        <f>+'proyectos 2022'!B192</f>
        <v>MANTENIMIENTO VIAL DE LA PARROQUIA</v>
      </c>
      <c r="F49" s="51"/>
      <c r="G49" s="56"/>
      <c r="H49" s="53"/>
      <c r="I49" s="53"/>
    </row>
    <row r="50" spans="1:9" s="10" customFormat="1" ht="13.5">
      <c r="A50" s="51" t="str">
        <f>+'proyectos 2022'!A197</f>
        <v>710203</v>
      </c>
      <c r="B50" s="51" t="str">
        <f>+'proyectos 2022'!B197</f>
        <v>Decimotercer Sueldo</v>
      </c>
      <c r="C50" s="51"/>
      <c r="D50" s="51">
        <v>248.05</v>
      </c>
      <c r="E50" s="51" t="str">
        <f>+'proyectos 2022'!B192</f>
        <v>MANTENIMIENTO VIAL DE LA PARROQUIA</v>
      </c>
      <c r="F50" s="51"/>
      <c r="G50" s="56"/>
      <c r="H50" s="53"/>
      <c r="I50" s="53"/>
    </row>
    <row r="51" spans="1:9" s="10" customFormat="1" ht="13.5">
      <c r="A51" s="51" t="str">
        <f>+'proyectos 2022'!A198</f>
        <v>710204</v>
      </c>
      <c r="B51" s="51" t="str">
        <f>+'proyectos 2022'!B198</f>
        <v>Decimocuarto Sueldo</v>
      </c>
      <c r="C51" s="51"/>
      <c r="D51" s="51">
        <v>318.75</v>
      </c>
      <c r="E51" s="51" t="str">
        <f>+'proyectos 2022'!B192</f>
        <v>MANTENIMIENTO VIAL DE LA PARROQUIA</v>
      </c>
      <c r="F51" s="51"/>
      <c r="I51" s="53"/>
    </row>
    <row r="52" spans="1:6" s="10" customFormat="1" ht="13.5">
      <c r="A52" s="51" t="str">
        <f>+'proyectos 2022'!A199</f>
        <v>710601</v>
      </c>
      <c r="B52" s="51" t="str">
        <f>+'proyectos 2022'!B199</f>
        <v>Aporte Patronal</v>
      </c>
      <c r="C52" s="51"/>
      <c r="D52" s="51">
        <v>165.85</v>
      </c>
      <c r="E52" s="51" t="str">
        <f>+'proyectos 2022'!B192</f>
        <v>MANTENIMIENTO VIAL DE LA PARROQUIA</v>
      </c>
      <c r="F52" s="51"/>
    </row>
    <row r="53" spans="1:6" s="10" customFormat="1" ht="40.5">
      <c r="A53" s="51" t="str">
        <f>+'proyectos 2022'!A180</f>
        <v>730606</v>
      </c>
      <c r="B53" s="51" t="str">
        <f>+'proyectos 2022'!B180</f>
        <v xml:space="preserve">Honorarios por contratos civiles de Servicios </v>
      </c>
      <c r="C53" s="51"/>
      <c r="D53" s="51">
        <v>3479.63</v>
      </c>
      <c r="E53" s="51" t="str">
        <f>+'proyectos 2022'!B176</f>
        <v>FORTALECIMIENTO INSTITUCIONAL Y MINA DE LASTRE</v>
      </c>
      <c r="F53" s="51"/>
    </row>
    <row r="54" spans="1:6" s="10" customFormat="1" ht="40.5">
      <c r="A54" s="51" t="str">
        <f>+'proyectos 2022'!A180</f>
        <v>730606</v>
      </c>
      <c r="B54" s="51" t="str">
        <f>+'proyectos 2022'!B180</f>
        <v xml:space="preserve">Honorarios por contratos civiles de Servicios </v>
      </c>
      <c r="C54" s="51"/>
      <c r="D54" s="51">
        <v>1213.58</v>
      </c>
      <c r="E54" s="51" t="str">
        <f>+'proyectos 2022'!B223</f>
        <v>FOMENTO A LAS ACTIVIDADES PRODUCTIVAS</v>
      </c>
      <c r="F54" s="51"/>
    </row>
    <row r="55" spans="1:6" s="10" customFormat="1" ht="54">
      <c r="A55" s="51" t="str">
        <f>+'proyectos 2022'!A57</f>
        <v>731408</v>
      </c>
      <c r="B55" s="51" t="str">
        <f>+'proyectos 2022'!B57</f>
        <v>Bienes Artísticos, Culturales, Bienes Deportivos y Símbolos Patrios</v>
      </c>
      <c r="C55" s="51"/>
      <c r="D55" s="51">
        <v>135.01</v>
      </c>
      <c r="E55" s="51" t="str">
        <f>+'proyectos 2022'!B40</f>
        <v>ATENCION AL GRUPO PRIORITARIO DE LA PARROQUIA</v>
      </c>
      <c r="F55" s="51"/>
    </row>
    <row r="56" spans="1:6" s="10" customFormat="1" ht="27">
      <c r="A56" s="51" t="str">
        <f>+'proyectos 2022'!A58</f>
        <v>840103</v>
      </c>
      <c r="B56" s="51" t="str">
        <f>+'proyectos 2022'!B58</f>
        <v xml:space="preserve">Mobiliario </v>
      </c>
      <c r="C56" s="51"/>
      <c r="D56" s="51">
        <v>50</v>
      </c>
      <c r="E56" s="51" t="str">
        <f>+'proyectos 2022'!B40</f>
        <v>ATENCION AL GRUPO PRIORITARIO DE LA PARROQUIA</v>
      </c>
      <c r="F56" s="51"/>
    </row>
    <row r="57" spans="1:6" s="10" customFormat="1" ht="54">
      <c r="A57" s="51" t="str">
        <f>+'proyectos 2022'!A72</f>
        <v>730704</v>
      </c>
      <c r="B57" s="51" t="str">
        <f>+'proyectos 2022'!B72</f>
        <v>Mantenimiento y Reparación de Equipos y Sistemas Informáticos</v>
      </c>
      <c r="C57" s="51"/>
      <c r="D57" s="51">
        <v>200</v>
      </c>
      <c r="E57" s="51" t="str">
        <f>+'proyectos 2022'!B68</f>
        <v>IMPLEMENTACION DE TECNOLOGIAS DE LA INFORMACION PARA LA PARROQUIA</v>
      </c>
      <c r="F57" s="51"/>
    </row>
    <row r="58" spans="1:6" s="10" customFormat="1" ht="54">
      <c r="A58" s="51" t="str">
        <f>+'proyectos 2022'!A88</f>
        <v>730402</v>
      </c>
      <c r="B58" s="51" t="str">
        <f>+'proyectos 2022'!B88</f>
        <v>Gasto en edificios, locales, residencias y cableado estruturado (mantenimiento)</v>
      </c>
      <c r="C58" s="51"/>
      <c r="D58" s="51">
        <v>789.4</v>
      </c>
      <c r="E58" s="51" t="str">
        <f>+'proyectos 2022'!B82</f>
        <v>MEJORAMIENTO, MANTENIMIENTO E IMAGEN DE ESPACIOS PUBLICOS</v>
      </c>
      <c r="F58" s="51"/>
    </row>
    <row r="59" spans="1:6" s="10" customFormat="1" ht="27">
      <c r="A59" s="51" t="str">
        <f>+'proyectos 2022'!A89</f>
        <v>730404</v>
      </c>
      <c r="B59" s="51" t="str">
        <f>+'proyectos 2022'!B89</f>
        <v>Maquinaria y Equipos (mantenimiento)</v>
      </c>
      <c r="C59" s="51"/>
      <c r="D59" s="51">
        <v>705</v>
      </c>
      <c r="E59" s="51" t="str">
        <f>+'proyectos 2022'!B82</f>
        <v>MEJORAMIENTO, MANTENIMIENTO E IMAGEN DE ESPACIOS PUBLICOS</v>
      </c>
      <c r="F59" s="51"/>
    </row>
    <row r="60" spans="1:6" s="10" customFormat="1" ht="27">
      <c r="A60" s="51" t="str">
        <f>+'proyectos 2022'!A93</f>
        <v>730803</v>
      </c>
      <c r="B60" s="51" t="str">
        <f>+'proyectos 2022'!B93</f>
        <v>Combustibles y Lubricantes</v>
      </c>
      <c r="C60" s="51"/>
      <c r="D60" s="51">
        <v>300</v>
      </c>
      <c r="E60" s="51" t="str">
        <f>+'proyectos 2022'!B82</f>
        <v>MEJORAMIENTO, MANTENIMIENTO E IMAGEN DE ESPACIOS PUBLICOS</v>
      </c>
      <c r="F60" s="51"/>
    </row>
    <row r="61" spans="1:6" s="10" customFormat="1" ht="27">
      <c r="A61" s="51" t="str">
        <f>+'proyectos 2022'!A94</f>
        <v>730813</v>
      </c>
      <c r="B61" s="51" t="str">
        <f>+'proyectos 2022'!B94</f>
        <v>Respuestos y Accesorios</v>
      </c>
      <c r="C61" s="51"/>
      <c r="D61" s="51">
        <v>100</v>
      </c>
      <c r="E61" s="51" t="str">
        <f>+E60</f>
        <v>MEJORAMIENTO, MANTENIMIENTO E IMAGEN DE ESPACIOS PUBLICOS</v>
      </c>
      <c r="F61" s="51"/>
    </row>
    <row r="62" spans="1:6" s="10" customFormat="1" ht="13.5">
      <c r="A62" s="51" t="str">
        <f>+'proyectos 2022'!A212</f>
        <v>840105</v>
      </c>
      <c r="B62" s="51" t="str">
        <f>+'proyectos 2022'!B212</f>
        <v>Vehículo</v>
      </c>
      <c r="C62" s="51"/>
      <c r="D62" s="51">
        <v>8898.05</v>
      </c>
      <c r="E62" s="51" t="str">
        <f>+'proyectos 2022'!B192</f>
        <v>MANTENIMIENTO VIAL DE LA PARROQUIA</v>
      </c>
      <c r="F62" s="51"/>
    </row>
    <row r="63" spans="1:6" s="10" customFormat="1" ht="13.5">
      <c r="A63" s="51"/>
      <c r="B63" s="51"/>
      <c r="C63" s="51"/>
      <c r="D63" s="51"/>
      <c r="E63" s="51"/>
      <c r="F63" s="51"/>
    </row>
    <row r="64" spans="1:6" s="10" customFormat="1" ht="13.5">
      <c r="A64" s="51"/>
      <c r="B64" s="51"/>
      <c r="C64" s="51"/>
      <c r="D64" s="51"/>
      <c r="E64" s="51"/>
      <c r="F64" s="51"/>
    </row>
    <row r="65" spans="1:6" s="10" customFormat="1" ht="13.5">
      <c r="A65" s="51"/>
      <c r="B65" s="51"/>
      <c r="C65" s="51"/>
      <c r="D65" s="51"/>
      <c r="E65" s="51"/>
      <c r="F65" s="51"/>
    </row>
    <row r="66" spans="1:6" s="10" customFormat="1" ht="13.5">
      <c r="A66" s="51"/>
      <c r="B66" s="51"/>
      <c r="C66" s="51"/>
      <c r="D66" s="51"/>
      <c r="E66" s="51"/>
      <c r="F66" s="51"/>
    </row>
    <row r="67" spans="1:6" s="10" customFormat="1" ht="13.5">
      <c r="A67" s="51"/>
      <c r="B67" s="51"/>
      <c r="C67" s="52">
        <f>SUM(C37:C44)</f>
        <v>39338.51</v>
      </c>
      <c r="D67" s="51">
        <f>SUM(D45:D66)</f>
        <v>39338.509999999995</v>
      </c>
      <c r="E67" s="51"/>
      <c r="F67" s="51"/>
    </row>
    <row r="68" spans="1:6" s="10" customFormat="1" ht="13.5">
      <c r="A68" s="51"/>
      <c r="B68" s="51"/>
      <c r="C68" s="51"/>
      <c r="D68" s="51"/>
      <c r="E68" s="51"/>
      <c r="F68" s="51"/>
    </row>
    <row r="69" spans="1:6" s="10" customFormat="1" ht="13.5">
      <c r="A69" s="51"/>
      <c r="B69" s="51"/>
      <c r="C69" s="52">
        <f>+C67-D67</f>
        <v>0</v>
      </c>
      <c r="D69" s="51"/>
      <c r="E69" s="51"/>
      <c r="F69" s="51"/>
    </row>
    <row r="70" spans="1:6" s="10" customFormat="1" ht="13.5">
      <c r="A70" s="51"/>
      <c r="B70" s="51"/>
      <c r="C70" s="51"/>
      <c r="D70" s="51"/>
      <c r="E70" s="51"/>
      <c r="F70" s="51"/>
    </row>
    <row r="71" spans="1:6" s="10" customFormat="1" ht="13.5">
      <c r="A71" s="51"/>
      <c r="B71" s="51"/>
      <c r="C71" s="52"/>
      <c r="D71" s="52"/>
      <c r="E71" s="51"/>
      <c r="F71" s="51"/>
    </row>
    <row r="72" spans="1:6" s="10" customFormat="1" ht="13.5">
      <c r="A72" s="51"/>
      <c r="B72" s="51"/>
      <c r="C72" s="51"/>
      <c r="D72" s="51"/>
      <c r="E72" s="51"/>
      <c r="F72" s="51"/>
    </row>
    <row r="73" spans="1:6" s="10" customFormat="1" ht="13.5">
      <c r="A73" s="51"/>
      <c r="B73" s="51"/>
      <c r="C73" s="51"/>
      <c r="D73" s="51"/>
      <c r="E73" s="51"/>
      <c r="F73" s="51"/>
    </row>
    <row r="74" spans="1:6" s="10" customFormat="1" ht="13.5">
      <c r="A74" s="51"/>
      <c r="B74" s="51"/>
      <c r="C74" s="51"/>
      <c r="D74" s="51"/>
      <c r="E74" s="51"/>
      <c r="F74" s="51"/>
    </row>
    <row r="75" spans="1:6" s="10" customFormat="1" ht="13.5">
      <c r="A75" s="51"/>
      <c r="B75" s="51"/>
      <c r="C75" s="51"/>
      <c r="D75" s="51"/>
      <c r="E75" s="51"/>
      <c r="F75" s="51"/>
    </row>
    <row r="76" spans="1:6" s="10" customFormat="1" ht="13.5">
      <c r="A76" s="51"/>
      <c r="B76" s="51"/>
      <c r="C76" s="51"/>
      <c r="D76" s="51"/>
      <c r="E76" s="51"/>
      <c r="F76" s="51"/>
    </row>
    <row r="77" spans="1:6" s="10" customFormat="1" ht="13.5">
      <c r="A77" s="51"/>
      <c r="B77" s="51"/>
      <c r="C77" s="51"/>
      <c r="D77" s="51"/>
      <c r="E77" s="51"/>
      <c r="F77" s="51"/>
    </row>
    <row r="78" spans="1:6" s="10" customFormat="1" ht="13.5">
      <c r="A78" s="51"/>
      <c r="B78" s="51"/>
      <c r="C78" s="51"/>
      <c r="D78" s="51"/>
      <c r="E78" s="51"/>
      <c r="F78" s="51"/>
    </row>
    <row r="79" spans="1:6" s="10" customFormat="1" ht="13.5">
      <c r="A79" s="51"/>
      <c r="B79" s="51"/>
      <c r="C79" s="51"/>
      <c r="D79" s="51"/>
      <c r="E79" s="51"/>
      <c r="F79" s="51"/>
    </row>
    <row r="80" spans="1:6" s="10" customFormat="1" ht="13.5">
      <c r="A80" s="51"/>
      <c r="B80" s="51"/>
      <c r="C80" s="51"/>
      <c r="D80" s="51"/>
      <c r="E80" s="51"/>
      <c r="F80" s="51"/>
    </row>
    <row r="81" spans="1:6" s="10" customFormat="1" ht="13.5">
      <c r="A81" s="51"/>
      <c r="B81" s="51"/>
      <c r="C81" s="51"/>
      <c r="D81" s="51"/>
      <c r="E81" s="51"/>
      <c r="F81" s="51"/>
    </row>
    <row r="82" spans="1:6" s="10" customFormat="1" ht="13.5">
      <c r="A82" s="51"/>
      <c r="B82" s="51"/>
      <c r="C82" s="51"/>
      <c r="D82" s="51"/>
      <c r="E82" s="51"/>
      <c r="F82" s="51"/>
    </row>
    <row r="83" spans="1:6" s="10" customFormat="1" ht="13.5">
      <c r="A83" s="51"/>
      <c r="B83" s="51"/>
      <c r="C83" s="51"/>
      <c r="D83" s="51"/>
      <c r="E83" s="51"/>
      <c r="F83" s="51"/>
    </row>
    <row r="84" spans="1:6" s="10" customFormat="1" ht="13.5">
      <c r="A84" s="51"/>
      <c r="B84" s="51"/>
      <c r="C84" s="51"/>
      <c r="D84" s="51"/>
      <c r="E84" s="51"/>
      <c r="F84" s="51"/>
    </row>
    <row r="85" spans="1:6" s="10" customFormat="1" ht="13.5">
      <c r="A85" s="51"/>
      <c r="B85" s="51"/>
      <c r="C85" s="51"/>
      <c r="D85" s="51"/>
      <c r="E85" s="51"/>
      <c r="F85" s="51"/>
    </row>
    <row r="86" spans="1:6" s="10" customFormat="1" ht="13.5">
      <c r="A86" s="51"/>
      <c r="B86" s="51"/>
      <c r="C86" s="51"/>
      <c r="D86" s="51"/>
      <c r="E86" s="51"/>
      <c r="F86" s="51"/>
    </row>
  </sheetData>
  <mergeCells count="1">
    <mergeCell ref="F10:F1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U50"/>
  <sheetViews>
    <sheetView workbookViewId="0" topLeftCell="A43"/>
  </sheetViews>
  <sheetFormatPr defaultColWidth="11.00390625" defaultRowHeight="15"/>
  <sheetData>
    <row r="6" spans="1:4" ht="15">
      <c r="A6" t="s">
        <v>435</v>
      </c>
      <c r="D6" s="1">
        <v>4146.43</v>
      </c>
    </row>
    <row r="7" spans="1:10" ht="15">
      <c r="A7" t="s">
        <v>436</v>
      </c>
      <c r="D7" s="1">
        <v>2730.6</v>
      </c>
      <c r="G7" s="2"/>
      <c r="I7" t="s">
        <v>437</v>
      </c>
      <c r="J7">
        <f>9*20</f>
        <v>180</v>
      </c>
    </row>
    <row r="8" spans="1:10" ht="15">
      <c r="A8" t="s">
        <v>438</v>
      </c>
      <c r="D8" s="1">
        <v>720.17</v>
      </c>
      <c r="G8" s="2"/>
      <c r="I8" t="s">
        <v>439</v>
      </c>
      <c r="J8">
        <f>18*30</f>
        <v>540</v>
      </c>
    </row>
    <row r="9" spans="1:10" ht="15">
      <c r="A9" t="s">
        <v>440</v>
      </c>
      <c r="D9" s="1">
        <v>3123.09</v>
      </c>
      <c r="G9" s="2"/>
      <c r="J9">
        <f>180+J8</f>
        <v>720</v>
      </c>
    </row>
    <row r="10" spans="1:7" ht="15">
      <c r="A10" t="s">
        <v>441</v>
      </c>
      <c r="D10" s="1">
        <v>26.52</v>
      </c>
      <c r="G10" s="2"/>
    </row>
    <row r="11" spans="1:19" ht="15">
      <c r="A11" t="s">
        <v>442</v>
      </c>
      <c r="D11" s="3">
        <v>3.06</v>
      </c>
      <c r="G11" s="2"/>
      <c r="J11">
        <f>720/36</f>
        <v>20</v>
      </c>
      <c r="N11" t="s">
        <v>443</v>
      </c>
      <c r="O11">
        <v>32</v>
      </c>
      <c r="P11">
        <v>45</v>
      </c>
      <c r="Q11">
        <f>+O11*P11</f>
        <v>1440</v>
      </c>
      <c r="R11">
        <v>45</v>
      </c>
      <c r="S11">
        <f>+O11*R11</f>
        <v>1440</v>
      </c>
    </row>
    <row r="12" spans="1:19" ht="15">
      <c r="A12" t="s">
        <v>444</v>
      </c>
      <c r="D12">
        <v>417.5</v>
      </c>
      <c r="G12" s="2"/>
      <c r="J12">
        <v>36</v>
      </c>
      <c r="K12">
        <v>20.21</v>
      </c>
      <c r="L12">
        <f>+J12*K12</f>
        <v>727.5600000000001</v>
      </c>
      <c r="N12" t="s">
        <v>445</v>
      </c>
      <c r="O12">
        <v>48</v>
      </c>
      <c r="P12">
        <v>11</v>
      </c>
      <c r="Q12">
        <f aca="true" t="shared" si="0" ref="Q12:Q14">+O12*P12</f>
        <v>528</v>
      </c>
      <c r="R12">
        <v>10</v>
      </c>
      <c r="S12">
        <f aca="true" t="shared" si="1" ref="S12:S14">+O12*R12</f>
        <v>480</v>
      </c>
    </row>
    <row r="13" spans="1:19" ht="15">
      <c r="A13" t="s">
        <v>446</v>
      </c>
      <c r="D13">
        <v>406.57</v>
      </c>
      <c r="G13" s="4"/>
      <c r="N13" t="s">
        <v>447</v>
      </c>
      <c r="O13">
        <v>9</v>
      </c>
      <c r="P13">
        <v>9.83</v>
      </c>
      <c r="Q13">
        <f t="shared" si="0"/>
        <v>88.47</v>
      </c>
      <c r="R13">
        <v>8</v>
      </c>
      <c r="S13">
        <f t="shared" si="1"/>
        <v>72</v>
      </c>
    </row>
    <row r="14" spans="1:19" ht="15">
      <c r="A14" t="s">
        <v>448</v>
      </c>
      <c r="D14" s="1">
        <v>13.28</v>
      </c>
      <c r="L14">
        <f>+L12</f>
        <v>727.5600000000001</v>
      </c>
      <c r="N14" t="s">
        <v>449</v>
      </c>
      <c r="O14">
        <v>24</v>
      </c>
      <c r="P14">
        <v>10</v>
      </c>
      <c r="Q14">
        <f t="shared" si="0"/>
        <v>240</v>
      </c>
      <c r="R14">
        <v>10</v>
      </c>
      <c r="S14">
        <f t="shared" si="1"/>
        <v>240</v>
      </c>
    </row>
    <row r="15" spans="1:21" ht="15">
      <c r="A15" t="s">
        <v>450</v>
      </c>
      <c r="D15" s="1">
        <v>54.12</v>
      </c>
      <c r="L15">
        <f>+L14*0%</f>
        <v>0</v>
      </c>
      <c r="Q15">
        <f>SUM(Q11:Q14)</f>
        <v>2296.47</v>
      </c>
      <c r="S15">
        <f>SUM(S11:S14)</f>
        <v>2232</v>
      </c>
      <c r="U15">
        <f>2277-10</f>
        <v>2267</v>
      </c>
    </row>
    <row r="16" spans="1:12" ht="15">
      <c r="A16" t="s">
        <v>451</v>
      </c>
      <c r="D16" s="1">
        <v>2.4</v>
      </c>
      <c r="L16">
        <f>+L14+L15</f>
        <v>727.5600000000001</v>
      </c>
    </row>
    <row r="17" spans="1:4" ht="15">
      <c r="A17" t="s">
        <v>452</v>
      </c>
      <c r="D17" s="1">
        <v>11</v>
      </c>
    </row>
    <row r="18" spans="1:19" ht="15">
      <c r="A18" t="s">
        <v>453</v>
      </c>
      <c r="D18">
        <v>25.75</v>
      </c>
      <c r="L18">
        <f>+L12*1%</f>
        <v>7.275600000000001</v>
      </c>
      <c r="Q18">
        <f>+Q15</f>
        <v>2296.47</v>
      </c>
      <c r="S18">
        <f>+Q18*2.75%</f>
        <v>63.152924999999996</v>
      </c>
    </row>
    <row r="19" spans="1:19" ht="15">
      <c r="A19" t="s">
        <v>454</v>
      </c>
      <c r="D19">
        <v>82.29</v>
      </c>
      <c r="Q19">
        <f>+Q18*0.12</f>
        <v>275.5764</v>
      </c>
      <c r="S19">
        <f>+Q19</f>
        <v>275.5764</v>
      </c>
    </row>
    <row r="20" spans="1:19" ht="15">
      <c r="A20" t="s">
        <v>455</v>
      </c>
      <c r="D20">
        <v>69.74</v>
      </c>
      <c r="Q20">
        <f>+Q18+Q19</f>
        <v>2572.0463999999997</v>
      </c>
      <c r="S20">
        <f>+S18+S19</f>
        <v>338.72932499999996</v>
      </c>
    </row>
    <row r="21" spans="1:19" ht="15">
      <c r="A21" t="s">
        <v>456</v>
      </c>
      <c r="D21">
        <f>1957.82+12.83</f>
        <v>1970.6499999999999</v>
      </c>
      <c r="L21">
        <f>+L18-L16</f>
        <v>-720.2844</v>
      </c>
      <c r="S21" s="7">
        <f>+Q20-S20</f>
        <v>2233.317075</v>
      </c>
    </row>
    <row r="22" spans="1:16" ht="15">
      <c r="A22" t="s">
        <v>457</v>
      </c>
      <c r="D22" s="3">
        <f>133.32+387.53</f>
        <v>520.8499999999999</v>
      </c>
      <c r="P22" s="7"/>
    </row>
    <row r="23" spans="1:19" ht="15">
      <c r="A23" t="s">
        <v>458</v>
      </c>
      <c r="D23" s="1">
        <v>490.45</v>
      </c>
      <c r="P23">
        <v>11</v>
      </c>
      <c r="Q23">
        <f>+P23*0.12</f>
        <v>1.3199999999999998</v>
      </c>
      <c r="S23" s="7">
        <f>+S21-Q24</f>
        <v>2220.9970749999998</v>
      </c>
    </row>
    <row r="24" spans="1:17" ht="15">
      <c r="A24" t="s">
        <v>459</v>
      </c>
      <c r="D24">
        <v>136.49</v>
      </c>
      <c r="Q24">
        <f>+P23+Q23</f>
        <v>12.32</v>
      </c>
    </row>
    <row r="25" spans="1:19" ht="15">
      <c r="A25" t="s">
        <v>460</v>
      </c>
      <c r="D25">
        <v>272.99</v>
      </c>
      <c r="S25" s="7"/>
    </row>
    <row r="26" spans="1:4" ht="15">
      <c r="A26" t="s">
        <v>461</v>
      </c>
      <c r="D26">
        <v>90.83</v>
      </c>
    </row>
    <row r="27" spans="1:4" ht="15">
      <c r="A27" t="s">
        <v>462</v>
      </c>
      <c r="D27" s="1">
        <v>700</v>
      </c>
    </row>
    <row r="30" ht="15">
      <c r="D30">
        <f>SUM(D6:D28)</f>
        <v>16014.780000000002</v>
      </c>
    </row>
    <row r="31" ht="15">
      <c r="D31">
        <f>16014.78-D30</f>
        <v>0</v>
      </c>
    </row>
    <row r="32" spans="7:11" ht="15">
      <c r="G32" t="s">
        <v>463</v>
      </c>
      <c r="H32">
        <v>1680</v>
      </c>
      <c r="J32">
        <f>+H32*10%</f>
        <v>168</v>
      </c>
      <c r="K32" s="8" t="s">
        <v>464</v>
      </c>
    </row>
    <row r="33" spans="7:10" ht="15">
      <c r="G33" t="s">
        <v>465</v>
      </c>
      <c r="H33">
        <f>+H32*0.12</f>
        <v>201.6</v>
      </c>
      <c r="J33">
        <f>+H33*100%</f>
        <v>201.6</v>
      </c>
    </row>
    <row r="34" spans="7:10" ht="15">
      <c r="G34" t="s">
        <v>193</v>
      </c>
      <c r="H34">
        <f>+H32+H33</f>
        <v>1881.6</v>
      </c>
      <c r="J34">
        <f>+J32+J33</f>
        <v>369.6</v>
      </c>
    </row>
    <row r="35" ht="15">
      <c r="J35">
        <f>+H34-J34</f>
        <v>1512</v>
      </c>
    </row>
    <row r="41" spans="7:10" ht="15">
      <c r="G41" s="2">
        <v>375</v>
      </c>
      <c r="I41" s="2">
        <v>375</v>
      </c>
      <c r="J41" s="2" t="s">
        <v>466</v>
      </c>
    </row>
    <row r="42" spans="7:10" ht="15">
      <c r="G42" s="5">
        <v>624</v>
      </c>
      <c r="H42" s="5"/>
      <c r="I42" s="2">
        <f>470+140</f>
        <v>610</v>
      </c>
      <c r="J42" s="2" t="s">
        <v>467</v>
      </c>
    </row>
    <row r="43" spans="7:10" ht="15">
      <c r="G43" s="5">
        <v>190</v>
      </c>
      <c r="H43" s="5"/>
      <c r="I43" s="2">
        <v>40</v>
      </c>
      <c r="J43" s="2" t="s">
        <v>468</v>
      </c>
    </row>
    <row r="44" spans="7:10" ht="15">
      <c r="G44" s="5">
        <v>345</v>
      </c>
      <c r="H44" s="5"/>
      <c r="I44" s="2">
        <v>25</v>
      </c>
      <c r="J44" s="2" t="s">
        <v>469</v>
      </c>
    </row>
    <row r="45" spans="7:10" ht="15">
      <c r="G45" s="6">
        <f>SUM(G41:G44)</f>
        <v>1534</v>
      </c>
      <c r="H45" s="5"/>
      <c r="I45" s="2">
        <v>120</v>
      </c>
      <c r="J45" s="2" t="s">
        <v>470</v>
      </c>
    </row>
    <row r="46" spans="7:10" ht="15">
      <c r="G46" s="5"/>
      <c r="H46" s="5"/>
      <c r="I46" s="2">
        <v>30</v>
      </c>
      <c r="J46" s="2" t="s">
        <v>471</v>
      </c>
    </row>
    <row r="47" spans="7:10" ht="15">
      <c r="G47" s="5"/>
      <c r="H47" s="5"/>
      <c r="I47" s="2">
        <v>60</v>
      </c>
      <c r="J47" s="2" t="s">
        <v>472</v>
      </c>
    </row>
    <row r="48" spans="7:10" ht="15">
      <c r="G48" s="5"/>
      <c r="H48" s="5"/>
      <c r="I48" s="2">
        <v>70</v>
      </c>
      <c r="J48" s="2" t="s">
        <v>473</v>
      </c>
    </row>
    <row r="49" spans="7:10" ht="15">
      <c r="G49" s="5"/>
      <c r="H49" s="5"/>
      <c r="I49" s="2">
        <v>200</v>
      </c>
      <c r="J49" s="2" t="s">
        <v>474</v>
      </c>
    </row>
    <row r="50" spans="7:10" ht="15">
      <c r="G50" s="5"/>
      <c r="H50" s="5"/>
      <c r="I50" s="9">
        <f>SUM(I41:I49)</f>
        <v>1530</v>
      </c>
      <c r="J50" s="2"/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CA Silvia Saltos</dc:creator>
  <cp:keywords/>
  <dc:description/>
  <cp:lastModifiedBy>HP</cp:lastModifiedBy>
  <cp:lastPrinted>2023-04-06T19:41:03Z</cp:lastPrinted>
  <dcterms:created xsi:type="dcterms:W3CDTF">2020-05-04T02:58:00Z</dcterms:created>
  <dcterms:modified xsi:type="dcterms:W3CDTF">2023-04-06T22:02:16Z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931F454CB9234507AA5F55AFDFB25795</vt:lpwstr>
  </property>
  <property fmtid="{D5CDD505-2E9C-101B-9397-08002B2CF9AE}" pid="3" name="KSOProductBuildVer">
    <vt:lpwstr>1033-11.2.0.11341</vt:lpwstr>
  </property>
</Properties>
</file>